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309"/>
  <workbookPr autoCompressPictures="0"/>
  <mc:AlternateContent xmlns:mc="http://schemas.openxmlformats.org/markup-compatibility/2006">
    <mc:Choice Requires="x15">
      <x15ac:absPath xmlns:x15ac="http://schemas.microsoft.com/office/spreadsheetml/2010/11/ac" url="/Users/chengdaoyang/Documents/School/Learn/Program/Python/Fei_Web/fei_family_project/asset_static/personal/files/"/>
    </mc:Choice>
  </mc:AlternateContent>
  <xr:revisionPtr revIDLastSave="0" documentId="13_ncr:1_{92A6A69A-6326-1646-8C86-D9A45B7BEF09}" xr6:coauthVersionLast="43" xr6:coauthVersionMax="43" xr10:uidLastSave="{00000000-0000-0000-0000-000000000000}"/>
  <bookViews>
    <workbookView xWindow="1080" yWindow="460" windowWidth="27720" windowHeight="15600" tabRatio="755" activeTab="9" xr2:uid="{00000000-000D-0000-FFFF-FFFF00000000}"/>
  </bookViews>
  <sheets>
    <sheet name="Cover Page" sheetId="5" r:id="rId1"/>
    <sheet name="Historical Statement Analysis" sheetId="4" r:id="rId2"/>
    <sheet name="Financial Analysis" sheetId="1" r:id="rId3"/>
    <sheet name="Assumptions" sheetId="2" r:id="rId4"/>
    <sheet name="Scenarios" sheetId="3" r:id="rId5"/>
    <sheet name="Metro Modeling" sheetId="6" r:id="rId6"/>
    <sheet name="Common Size Analysis" sheetId="7" r:id="rId7"/>
    <sheet name="WACC" sheetId="8" r:id="rId8"/>
    <sheet name="Additional calculation" sheetId="9" r:id="rId9"/>
    <sheet name="price" sheetId="10" r:id="rId10"/>
    <sheet name="dvm" sheetId="11" r:id="rId11"/>
  </sheets>
  <externalReferences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definedNames>
    <definedName name="_1995_2002" localSheetId="6">#REF!</definedName>
    <definedName name="_1995_2002" localSheetId="5">#REF!</definedName>
    <definedName name="_1995_2002">#REF!</definedName>
    <definedName name="aa">Scenarios!$B$39</definedName>
    <definedName name="bb">Scenarios!$B$40</definedName>
    <definedName name="ca">Scenarios!$C$5</definedName>
    <definedName name="case">Scenarios!$C$5</definedName>
    <definedName name="COLUMNDEF" localSheetId="6">#REF!</definedName>
    <definedName name="COLUMNDEF" localSheetId="5">#REF!</definedName>
    <definedName name="COLUMNDEF">#REF!</definedName>
    <definedName name="Company_Name">[1]Inputs!$E$4</definedName>
    <definedName name="COMPCOL1" localSheetId="6">#REF!</definedName>
    <definedName name="COMPCOL1" localSheetId="5">#REF!</definedName>
    <definedName name="COMPCOL1">#REF!</definedName>
    <definedName name="Comps_Range">'[1]Public-Comps-Data'!$D$2:$AA$106</definedName>
    <definedName name="CONSTANT" localSheetId="6">#REF!</definedName>
    <definedName name="CONSTANT" localSheetId="5">#REF!</definedName>
    <definedName name="CONSTANT">#REF!</definedName>
    <definedName name="COUNTRYCODE" localSheetId="6">#REF!</definedName>
    <definedName name="COUNTRYCODE" localSheetId="5">#REF!</definedName>
    <definedName name="COUNTRYCODE">#REF!</definedName>
    <definedName name="COUNTRYNAME" localSheetId="6">#REF!</definedName>
    <definedName name="COUNTRYNAME" localSheetId="5">#REF!</definedName>
    <definedName name="COUNTRYNAME">#REF!</definedName>
    <definedName name="dinfl">Assumptions!$D$7</definedName>
    <definedName name="divout">Assumptions!$A$70</definedName>
    <definedName name="DLX1.USE" localSheetId="6">#REF!</definedName>
    <definedName name="DLX1.USE" localSheetId="5">#REF!</definedName>
    <definedName name="DLX1.USE">#REF!</definedName>
    <definedName name="DLX2.USE" localSheetId="6">#REF!</definedName>
    <definedName name="DLX2.USE" localSheetId="5">#REF!</definedName>
    <definedName name="DLX2.USE">#REF!</definedName>
    <definedName name="DLX3.USE" localSheetId="6">#REF!</definedName>
    <definedName name="DLX3.USE" localSheetId="5">#REF!</definedName>
    <definedName name="DLX3.USE">#REF!</definedName>
    <definedName name="FHYCOL1" localSheetId="6">#REF!</definedName>
    <definedName name="FHYCOL1" localSheetId="5">#REF!</definedName>
    <definedName name="FHYCOL1">#REF!</definedName>
    <definedName name="FILENAME" localSheetId="6">#REF!</definedName>
    <definedName name="FILENAME" localSheetId="5">#REF!</definedName>
    <definedName name="FILENAME">#REF!</definedName>
    <definedName name="Forward_Year_1">[2]Inputs!$L$13</definedName>
    <definedName name="Forward_Year_2">[2]Inputs!$L$14</definedName>
    <definedName name="Forward_Year_3">[2]Inputs!$L$15</definedName>
    <definedName name="g">price!$B$14</definedName>
    <definedName name="gggggggggg">price!$B$14</definedName>
    <definedName name="ggggggggggg">price!$B$14</definedName>
    <definedName name="infl">Assumptions!$B$8</definedName>
    <definedName name="LASTROW" localSheetId="6">#REF!</definedName>
    <definedName name="LASTROW" localSheetId="5">#REF!</definedName>
    <definedName name="LASTROW">#REF!</definedName>
    <definedName name="LFYCOL1" localSheetId="6">#REF!</definedName>
    <definedName name="LFYCOL1" localSheetId="5">#REF!</definedName>
    <definedName name="LFYCOL1">#REF!</definedName>
    <definedName name="LHYCOL1" localSheetId="6">#REF!</definedName>
    <definedName name="LHYCOL1" localSheetId="5">#REF!</definedName>
    <definedName name="LHYCOL1">#REF!</definedName>
    <definedName name="ninfl">Assumptions!$A$7</definedName>
    <definedName name="_xlnm.Print_Area" localSheetId="0">'Cover Page'!$A$3:$F$29</definedName>
    <definedName name="Print_Area_MI" localSheetId="6">#REF!</definedName>
    <definedName name="Print_Area_MI" localSheetId="5">#REF!</definedName>
    <definedName name="Print_Area_MI">#REF!</definedName>
    <definedName name="RHSVARCOL1" localSheetId="6">#REF!</definedName>
    <definedName name="RHSVARCOL1" localSheetId="5">#REF!</definedName>
    <definedName name="RHSVARCOL1">#REF!</definedName>
    <definedName name="TAX">Assumptions!$J$10</definedName>
    <definedName name="Tax_Rate">[1]Inputs!$L$4</definedName>
    <definedName name="VARDESCR" localSheetId="6">#REF!</definedName>
    <definedName name="VARDESCR" localSheetId="5">#REF!</definedName>
    <definedName name="VARDESCR">#REF!</definedName>
    <definedName name="wacc">price!$C$13</definedName>
    <definedName name="YEAR" localSheetId="6">#REF!</definedName>
    <definedName name="YEAR" localSheetId="5">#REF!</definedName>
    <definedName name="YEAR">#REF!</definedName>
  </definedNames>
  <calcPr calcId="191029" iterate="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55" i="8" l="1"/>
  <c r="F45" i="8" s="1"/>
  <c r="I20" i="3"/>
  <c r="N20" i="3"/>
  <c r="N125" i="6"/>
  <c r="G68" i="2"/>
  <c r="F68" i="2"/>
  <c r="E68" i="2"/>
  <c r="D68" i="2"/>
  <c r="C68" i="2"/>
  <c r="B68" i="2"/>
  <c r="M125" i="6"/>
  <c r="J125" i="6"/>
  <c r="K125" i="6"/>
  <c r="L125" i="6"/>
  <c r="I125" i="6"/>
  <c r="F16" i="11"/>
  <c r="C4" i="11"/>
  <c r="E9" i="11"/>
  <c r="C31" i="11" s="1"/>
  <c r="L58" i="11"/>
  <c r="Q16" i="11"/>
  <c r="Q59" i="11"/>
  <c r="L63" i="11"/>
  <c r="O63" i="11" s="1"/>
  <c r="R63" i="11" s="1"/>
  <c r="M58" i="11"/>
  <c r="K17" i="11"/>
  <c r="K59" i="11" s="1"/>
  <c r="J17" i="11"/>
  <c r="J59" i="11"/>
  <c r="I17" i="11"/>
  <c r="I59" i="11" s="1"/>
  <c r="H17" i="11"/>
  <c r="H59" i="11" s="1"/>
  <c r="G17" i="11"/>
  <c r="G59" i="11" s="1"/>
  <c r="F17" i="11"/>
  <c r="F59" i="11"/>
  <c r="K16" i="11"/>
  <c r="J16" i="11"/>
  <c r="J18" i="11"/>
  <c r="J58" i="11" s="1"/>
  <c r="I16" i="11"/>
  <c r="I18" i="11"/>
  <c r="I58" i="11" s="1"/>
  <c r="H16" i="11"/>
  <c r="H18" i="11"/>
  <c r="H58" i="11"/>
  <c r="G16" i="11"/>
  <c r="F18" i="11"/>
  <c r="F58" i="11" s="1"/>
  <c r="L17" i="11"/>
  <c r="L25" i="11" s="1"/>
  <c r="M25" i="11" s="1"/>
  <c r="N25" i="11" s="1"/>
  <c r="O25" i="11" s="1"/>
  <c r="P25" i="11" s="1"/>
  <c r="Q25" i="11" s="1"/>
  <c r="I29" i="11"/>
  <c r="L29" i="11" s="1"/>
  <c r="O29" i="11" s="1"/>
  <c r="R29" i="11" s="1"/>
  <c r="K25" i="11"/>
  <c r="J25" i="11"/>
  <c r="I25" i="11"/>
  <c r="H25" i="11"/>
  <c r="G25" i="11"/>
  <c r="F25" i="11"/>
  <c r="Q17" i="11"/>
  <c r="Q18" i="11" s="1"/>
  <c r="P17" i="11"/>
  <c r="O17" i="11"/>
  <c r="N17" i="11"/>
  <c r="M17" i="11"/>
  <c r="L14" i="11"/>
  <c r="M14" i="11"/>
  <c r="N14" i="11" s="1"/>
  <c r="O14" i="11" s="1"/>
  <c r="P14" i="11" s="1"/>
  <c r="E10" i="11"/>
  <c r="Q2" i="11"/>
  <c r="K2" i="11"/>
  <c r="C14" i="2"/>
  <c r="I13" i="3"/>
  <c r="I11" i="3" s="1"/>
  <c r="C14" i="10" s="1"/>
  <c r="C16" i="10"/>
  <c r="J9" i="3"/>
  <c r="J37" i="3" s="1"/>
  <c r="J38" i="3" s="1"/>
  <c r="I47" i="3"/>
  <c r="J47" i="3"/>
  <c r="I41" i="3"/>
  <c r="I40" i="3" s="1"/>
  <c r="I131" i="6" s="1"/>
  <c r="L225" i="6"/>
  <c r="M231" i="6"/>
  <c r="I19" i="3"/>
  <c r="I17" i="3"/>
  <c r="H9" i="1"/>
  <c r="K31" i="6" s="1"/>
  <c r="K16" i="6"/>
  <c r="K13" i="6"/>
  <c r="L13" i="6" s="1"/>
  <c r="I31" i="3"/>
  <c r="I29" i="3"/>
  <c r="L14" i="6"/>
  <c r="K29" i="6"/>
  <c r="K21" i="6" s="1"/>
  <c r="L21" i="6" s="1"/>
  <c r="M21" i="6" s="1"/>
  <c r="I23" i="3"/>
  <c r="L10" i="6"/>
  <c r="L29" i="6"/>
  <c r="L30" i="6" s="1"/>
  <c r="I59" i="3"/>
  <c r="L44" i="6" s="1"/>
  <c r="I65" i="3"/>
  <c r="L45" i="6" s="1"/>
  <c r="L419" i="6"/>
  <c r="I140" i="6"/>
  <c r="I84" i="6"/>
  <c r="J140" i="6"/>
  <c r="K140" i="6"/>
  <c r="L140" i="6"/>
  <c r="M140" i="6"/>
  <c r="N140" i="6"/>
  <c r="L416" i="6" s="1"/>
  <c r="L361" i="6" s="1"/>
  <c r="L389" i="6"/>
  <c r="L372" i="6"/>
  <c r="L359" i="6" s="1"/>
  <c r="J19" i="3"/>
  <c r="J17" i="3" s="1"/>
  <c r="J20" i="3"/>
  <c r="K19" i="3"/>
  <c r="K17" i="3" s="1"/>
  <c r="K20" i="3"/>
  <c r="L19" i="3"/>
  <c r="L17" i="3" s="1"/>
  <c r="L20" i="3"/>
  <c r="M19" i="3"/>
  <c r="M20" i="3"/>
  <c r="M17" i="3"/>
  <c r="C19" i="2"/>
  <c r="N19" i="3" s="1"/>
  <c r="N17" i="3" s="1"/>
  <c r="J31" i="3"/>
  <c r="J29" i="3"/>
  <c r="M14" i="6" s="1"/>
  <c r="M13" i="6"/>
  <c r="N13" i="6" s="1"/>
  <c r="K31" i="3"/>
  <c r="K29" i="3" s="1"/>
  <c r="N14" i="6" s="1"/>
  <c r="L31" i="3"/>
  <c r="L29" i="3"/>
  <c r="O14" i="6" s="1"/>
  <c r="O13" i="6" s="1"/>
  <c r="M31" i="3"/>
  <c r="M29" i="3" s="1"/>
  <c r="P14" i="6" s="1"/>
  <c r="J13" i="3"/>
  <c r="J11" i="3"/>
  <c r="K13" i="3"/>
  <c r="K11" i="3" s="1"/>
  <c r="L13" i="3"/>
  <c r="L11" i="3"/>
  <c r="M13" i="3"/>
  <c r="M11" i="3" s="1"/>
  <c r="N13" i="3"/>
  <c r="N11" i="3" s="1"/>
  <c r="J23" i="3"/>
  <c r="K23" i="3"/>
  <c r="L23" i="3"/>
  <c r="M23" i="3"/>
  <c r="N61" i="3"/>
  <c r="N59" i="3"/>
  <c r="Q44" i="6"/>
  <c r="N65" i="3"/>
  <c r="Q45" i="6" s="1"/>
  <c r="H372" i="6"/>
  <c r="H380" i="6"/>
  <c r="H389" i="6"/>
  <c r="H397" i="6"/>
  <c r="I372" i="6"/>
  <c r="I380" i="6"/>
  <c r="I389" i="6"/>
  <c r="I397" i="6"/>
  <c r="I359" i="6"/>
  <c r="J372" i="6"/>
  <c r="J380" i="6"/>
  <c r="L144" i="6" s="1"/>
  <c r="J389" i="6"/>
  <c r="J397" i="6"/>
  <c r="K372" i="6"/>
  <c r="K380" i="6"/>
  <c r="K389" i="6"/>
  <c r="K359" i="6" s="1"/>
  <c r="K397" i="6"/>
  <c r="G372" i="6"/>
  <c r="G379" i="6"/>
  <c r="G380" i="6"/>
  <c r="G389" i="6"/>
  <c r="G397" i="6"/>
  <c r="G359" i="6"/>
  <c r="G371" i="6"/>
  <c r="G373" i="6"/>
  <c r="H375" i="6"/>
  <c r="I375" i="6"/>
  <c r="J375" i="6" s="1"/>
  <c r="G388" i="6"/>
  <c r="G390" i="6"/>
  <c r="H388" i="6"/>
  <c r="H390" i="6" s="1"/>
  <c r="I388" i="6"/>
  <c r="I390" i="6" s="1"/>
  <c r="J388" i="6" s="1"/>
  <c r="J390" i="6" s="1"/>
  <c r="K388" i="6" s="1"/>
  <c r="K390" i="6" s="1"/>
  <c r="L388" i="6" s="1"/>
  <c r="L390" i="6" s="1"/>
  <c r="G392" i="6"/>
  <c r="H392" i="6" s="1"/>
  <c r="I392" i="6" s="1"/>
  <c r="J392" i="6"/>
  <c r="F398" i="6"/>
  <c r="H400" i="6"/>
  <c r="I400" i="6"/>
  <c r="J144" i="6"/>
  <c r="J59" i="3"/>
  <c r="M44" i="6" s="1"/>
  <c r="J65" i="3"/>
  <c r="M45" i="6"/>
  <c r="N231" i="6"/>
  <c r="I133" i="6"/>
  <c r="J133" i="6"/>
  <c r="I134" i="6"/>
  <c r="J134" i="6" s="1"/>
  <c r="K261" i="6"/>
  <c r="K255" i="6"/>
  <c r="K262" i="6"/>
  <c r="K263" i="6"/>
  <c r="J261" i="6"/>
  <c r="J255" i="6"/>
  <c r="J262" i="6"/>
  <c r="J263" i="6"/>
  <c r="H266" i="6"/>
  <c r="H269" i="6" s="1"/>
  <c r="H267" i="6"/>
  <c r="H268" i="6"/>
  <c r="G266" i="6"/>
  <c r="G267" i="6"/>
  <c r="G268" i="6"/>
  <c r="G269" i="6" s="1"/>
  <c r="I266" i="6"/>
  <c r="I267" i="6"/>
  <c r="I269" i="6" s="1"/>
  <c r="I271" i="6" s="1"/>
  <c r="I268" i="6"/>
  <c r="O231" i="6"/>
  <c r="K59" i="3"/>
  <c r="N44" i="6" s="1"/>
  <c r="K65" i="3"/>
  <c r="N45" i="6"/>
  <c r="P231" i="6"/>
  <c r="L59" i="3"/>
  <c r="O44" i="6" s="1"/>
  <c r="O46" i="6" s="1"/>
  <c r="L65" i="3"/>
  <c r="O45" i="6"/>
  <c r="Q231" i="6"/>
  <c r="M59" i="3"/>
  <c r="P44" i="6" s="1"/>
  <c r="P46" i="6" s="1"/>
  <c r="M65" i="3"/>
  <c r="P45" i="6"/>
  <c r="K144" i="6"/>
  <c r="M144" i="6"/>
  <c r="N144" i="6"/>
  <c r="I144" i="6"/>
  <c r="H435" i="6"/>
  <c r="I435" i="6"/>
  <c r="J435" i="6"/>
  <c r="K435" i="6"/>
  <c r="G85" i="2"/>
  <c r="L435" i="6"/>
  <c r="G435" i="6"/>
  <c r="G419" i="6"/>
  <c r="G420" i="6"/>
  <c r="G421" i="6"/>
  <c r="G428" i="6"/>
  <c r="H419" i="6"/>
  <c r="I419" i="6"/>
  <c r="J419" i="6"/>
  <c r="K419" i="6"/>
  <c r="L427" i="6"/>
  <c r="H416" i="6"/>
  <c r="H361" i="6" s="1"/>
  <c r="I416" i="6"/>
  <c r="I427" i="6"/>
  <c r="J416" i="6"/>
  <c r="J361" i="6" s="1"/>
  <c r="J427" i="6"/>
  <c r="K416" i="6"/>
  <c r="K427" i="6" s="1"/>
  <c r="G416" i="6"/>
  <c r="G427" i="6" s="1"/>
  <c r="G434" i="6"/>
  <c r="F436" i="6"/>
  <c r="G433" i="6"/>
  <c r="G436" i="6"/>
  <c r="G438" i="6" s="1"/>
  <c r="H433" i="6"/>
  <c r="F429" i="6"/>
  <c r="F417" i="6"/>
  <c r="G415" i="6"/>
  <c r="G417" i="6" s="1"/>
  <c r="H415" i="6"/>
  <c r="H417" i="6"/>
  <c r="I415" i="6"/>
  <c r="I417" i="6" s="1"/>
  <c r="J415" i="6" s="1"/>
  <c r="J417" i="6" s="1"/>
  <c r="K415" i="6" s="1"/>
  <c r="K417" i="6" s="1"/>
  <c r="L415" i="6" s="1"/>
  <c r="L417" i="6" s="1"/>
  <c r="L46" i="6"/>
  <c r="M46" i="6"/>
  <c r="D9" i="1"/>
  <c r="G31" i="6" s="1"/>
  <c r="D21" i="1"/>
  <c r="G16" i="6" s="1"/>
  <c r="C9" i="1"/>
  <c r="F31" i="6" s="1"/>
  <c r="F16" i="6"/>
  <c r="F13" i="6" s="1"/>
  <c r="F23" i="6"/>
  <c r="E9" i="1"/>
  <c r="H31" i="6"/>
  <c r="E21" i="1"/>
  <c r="H16" i="6"/>
  <c r="H13" i="6" s="1"/>
  <c r="I15" i="6" s="1"/>
  <c r="H23" i="6"/>
  <c r="F9" i="1"/>
  <c r="I31" i="6" s="1"/>
  <c r="F21" i="1"/>
  <c r="I16" i="6"/>
  <c r="I13" i="6" s="1"/>
  <c r="G9" i="1"/>
  <c r="J31" i="6" s="1"/>
  <c r="G21" i="1"/>
  <c r="J16" i="6"/>
  <c r="J13" i="6" s="1"/>
  <c r="J29" i="6"/>
  <c r="J21" i="6" s="1"/>
  <c r="I29" i="6"/>
  <c r="I21" i="6"/>
  <c r="J22" i="6"/>
  <c r="F49" i="8"/>
  <c r="D11" i="8"/>
  <c r="D21" i="8"/>
  <c r="G42" i="8"/>
  <c r="C45" i="8"/>
  <c r="I103" i="6"/>
  <c r="N107" i="6"/>
  <c r="N119" i="6"/>
  <c r="G368" i="6"/>
  <c r="H368" i="6" s="1"/>
  <c r="I368" i="6" s="1"/>
  <c r="F366" i="6"/>
  <c r="I129" i="6"/>
  <c r="I135" i="6" s="1"/>
  <c r="G358" i="6" s="1"/>
  <c r="K133" i="6"/>
  <c r="M133" i="6" s="1"/>
  <c r="L133" i="6"/>
  <c r="I114" i="6"/>
  <c r="J114" i="6"/>
  <c r="K114" i="6" s="1"/>
  <c r="I115" i="6"/>
  <c r="J115" i="6"/>
  <c r="K115" i="6"/>
  <c r="I116" i="6"/>
  <c r="J116" i="6"/>
  <c r="K116" i="6" s="1"/>
  <c r="N261" i="6"/>
  <c r="N255" i="6"/>
  <c r="N262" i="6"/>
  <c r="N263" i="6"/>
  <c r="M261" i="6"/>
  <c r="M255" i="6"/>
  <c r="M262" i="6"/>
  <c r="M263" i="6"/>
  <c r="H152" i="6"/>
  <c r="I151" i="6" s="1"/>
  <c r="I138" i="6"/>
  <c r="I139" i="6"/>
  <c r="I141" i="6"/>
  <c r="J138" i="6"/>
  <c r="J139" i="6"/>
  <c r="J141" i="6"/>
  <c r="K141" i="6" s="1"/>
  <c r="L261" i="6"/>
  <c r="L255" i="6"/>
  <c r="L262" i="6"/>
  <c r="L263" i="6"/>
  <c r="L353" i="6"/>
  <c r="H353" i="6"/>
  <c r="I353" i="6"/>
  <c r="J353" i="6"/>
  <c r="K353" i="6"/>
  <c r="G353" i="6"/>
  <c r="G425" i="6"/>
  <c r="K413" i="6"/>
  <c r="J413" i="6"/>
  <c r="I413" i="6"/>
  <c r="H413" i="6"/>
  <c r="G413" i="6"/>
  <c r="F413" i="6"/>
  <c r="D342" i="6"/>
  <c r="D408" i="6" s="1"/>
  <c r="O406" i="6"/>
  <c r="I406" i="6"/>
  <c r="G364" i="6"/>
  <c r="G365" i="6"/>
  <c r="G366" i="6"/>
  <c r="H364" i="6" s="1"/>
  <c r="H366" i="6" s="1"/>
  <c r="I364" i="6" s="1"/>
  <c r="I366" i="6" s="1"/>
  <c r="J364" i="6" s="1"/>
  <c r="J366" i="6" s="1"/>
  <c r="K364" i="6" s="1"/>
  <c r="K366" i="6" s="1"/>
  <c r="H365" i="6"/>
  <c r="I365" i="6"/>
  <c r="J365" i="6"/>
  <c r="K365" i="6"/>
  <c r="G360" i="6"/>
  <c r="G361" i="6"/>
  <c r="G381" i="6"/>
  <c r="I361" i="6"/>
  <c r="K361" i="6"/>
  <c r="H383" i="6"/>
  <c r="I383" i="6"/>
  <c r="H369" i="6"/>
  <c r="G393" i="6"/>
  <c r="P148" i="6"/>
  <c r="G136" i="6"/>
  <c r="F136" i="6"/>
  <c r="H136" i="6"/>
  <c r="N46" i="6"/>
  <c r="Q46" i="6"/>
  <c r="G34" i="1"/>
  <c r="J49" i="6"/>
  <c r="G35" i="6"/>
  <c r="G44" i="6"/>
  <c r="G45" i="6"/>
  <c r="H35" i="6"/>
  <c r="H44" i="6"/>
  <c r="H45" i="6" s="1"/>
  <c r="F35" i="6"/>
  <c r="F44" i="6" s="1"/>
  <c r="F45" i="6" s="1"/>
  <c r="I45" i="6" s="1"/>
  <c r="H66" i="6"/>
  <c r="I169" i="6"/>
  <c r="J169" i="6" s="1"/>
  <c r="K9" i="3"/>
  <c r="L9" i="3" s="1"/>
  <c r="K37" i="3"/>
  <c r="K38" i="3" s="1"/>
  <c r="O46" i="3"/>
  <c r="N29" i="3"/>
  <c r="P41" i="3"/>
  <c r="P42" i="3"/>
  <c r="J231" i="6"/>
  <c r="K48" i="6"/>
  <c r="I259" i="6" s="1"/>
  <c r="I263" i="6" s="1"/>
  <c r="I255" i="6"/>
  <c r="J48" i="6"/>
  <c r="H259" i="6"/>
  <c r="H255" i="6"/>
  <c r="D13" i="4"/>
  <c r="D15" i="4"/>
  <c r="D20" i="4" s="1"/>
  <c r="D22" i="4"/>
  <c r="D26" i="4" s="1"/>
  <c r="D85" i="4"/>
  <c r="D87" i="4" s="1"/>
  <c r="E85" i="4"/>
  <c r="E87" i="4" s="1"/>
  <c r="E13" i="4"/>
  <c r="E15" i="4"/>
  <c r="E20" i="4"/>
  <c r="E22" i="4"/>
  <c r="E26" i="4" s="1"/>
  <c r="F85" i="4"/>
  <c r="F87" i="4" s="1"/>
  <c r="D69" i="4"/>
  <c r="D77" i="4"/>
  <c r="E69" i="4"/>
  <c r="E77" i="4"/>
  <c r="E88" i="4" s="1"/>
  <c r="H204" i="4"/>
  <c r="N27" i="8"/>
  <c r="N28" i="8"/>
  <c r="S53" i="4"/>
  <c r="O41" i="4"/>
  <c r="J18" i="1"/>
  <c r="J4" i="1"/>
  <c r="J5" i="1" s="1"/>
  <c r="J16" i="1" s="1"/>
  <c r="K16" i="1" s="1"/>
  <c r="D16" i="1"/>
  <c r="M18" i="1"/>
  <c r="M20" i="1" s="1"/>
  <c r="E16" i="1"/>
  <c r="N18" i="1"/>
  <c r="O18" i="1"/>
  <c r="P18" i="1"/>
  <c r="Q18" i="1"/>
  <c r="G29" i="6"/>
  <c r="G21" i="6"/>
  <c r="F29" i="6"/>
  <c r="G30" i="6" s="1"/>
  <c r="F21" i="6"/>
  <c r="G34" i="6"/>
  <c r="J11" i="4"/>
  <c r="I11" i="4"/>
  <c r="H11" i="4"/>
  <c r="D41" i="9"/>
  <c r="C3" i="9"/>
  <c r="C4" i="9"/>
  <c r="C5" i="9"/>
  <c r="C6" i="9"/>
  <c r="C7" i="9"/>
  <c r="C9" i="9"/>
  <c r="C10" i="9"/>
  <c r="C11" i="9"/>
  <c r="C12" i="9"/>
  <c r="C13" i="9"/>
  <c r="C14" i="9"/>
  <c r="C15" i="9"/>
  <c r="C16" i="9"/>
  <c r="C17" i="9"/>
  <c r="C18" i="9"/>
  <c r="C19" i="9"/>
  <c r="C20" i="9"/>
  <c r="C21" i="9"/>
  <c r="C22" i="9"/>
  <c r="I14" i="3"/>
  <c r="J14" i="3"/>
  <c r="K14" i="3"/>
  <c r="L14" i="3"/>
  <c r="M14" i="3"/>
  <c r="N14" i="3"/>
  <c r="I34" i="6"/>
  <c r="H32" i="6"/>
  <c r="G32" i="6"/>
  <c r="H29" i="6"/>
  <c r="H30" i="6" s="1"/>
  <c r="I30" i="6"/>
  <c r="J30" i="6"/>
  <c r="K30" i="6"/>
  <c r="I32" i="3"/>
  <c r="J32" i="3"/>
  <c r="K32" i="3"/>
  <c r="L32" i="3"/>
  <c r="M32" i="3"/>
  <c r="H21" i="6"/>
  <c r="H22" i="6" s="1"/>
  <c r="K22" i="6"/>
  <c r="L22" i="6"/>
  <c r="M22" i="6"/>
  <c r="H11" i="6"/>
  <c r="H12" i="6" s="1"/>
  <c r="I11" i="6"/>
  <c r="I12" i="6"/>
  <c r="J11" i="6"/>
  <c r="J12" i="6"/>
  <c r="K11" i="6"/>
  <c r="K12" i="6" s="1"/>
  <c r="L11" i="6"/>
  <c r="L12" i="6" s="1"/>
  <c r="N11" i="6"/>
  <c r="O11" i="6"/>
  <c r="P11" i="6"/>
  <c r="N23" i="3"/>
  <c r="Q11" i="6"/>
  <c r="G11" i="6"/>
  <c r="G12" i="6"/>
  <c r="J15" i="6"/>
  <c r="K15" i="6"/>
  <c r="L15" i="6"/>
  <c r="M15" i="6"/>
  <c r="N15" i="6"/>
  <c r="O15" i="6"/>
  <c r="J17" i="6"/>
  <c r="H25" i="6"/>
  <c r="I25" i="6"/>
  <c r="J25" i="6"/>
  <c r="K25" i="6"/>
  <c r="L16" i="6"/>
  <c r="F25" i="6"/>
  <c r="I14" i="6"/>
  <c r="J14" i="6"/>
  <c r="K14" i="6"/>
  <c r="I33" i="3"/>
  <c r="J33" i="3"/>
  <c r="K33" i="3"/>
  <c r="L33" i="3"/>
  <c r="M33" i="3"/>
  <c r="H32" i="3"/>
  <c r="H33" i="3" s="1"/>
  <c r="F32" i="3"/>
  <c r="F33" i="3"/>
  <c r="F19" i="3"/>
  <c r="F20" i="3" s="1"/>
  <c r="F21" i="3" s="1"/>
  <c r="G19" i="3"/>
  <c r="G20" i="3" s="1"/>
  <c r="G21" i="3" s="1"/>
  <c r="H19" i="3"/>
  <c r="H20" i="3" s="1"/>
  <c r="H21" i="3" s="1"/>
  <c r="P10" i="1"/>
  <c r="G17" i="3"/>
  <c r="Q10" i="1"/>
  <c r="H17" i="3" s="1"/>
  <c r="O10" i="1"/>
  <c r="F17" i="3"/>
  <c r="N21" i="3"/>
  <c r="J21" i="3"/>
  <c r="K21" i="3"/>
  <c r="L21" i="3"/>
  <c r="M21" i="3"/>
  <c r="I21" i="3"/>
  <c r="N7" i="1"/>
  <c r="O7" i="1"/>
  <c r="P7" i="1"/>
  <c r="Q7" i="1"/>
  <c r="O8" i="1"/>
  <c r="C8" i="1"/>
  <c r="C10" i="1" s="1"/>
  <c r="D8" i="1"/>
  <c r="D10" i="1" s="1"/>
  <c r="E8" i="1"/>
  <c r="E10" i="1" s="1"/>
  <c r="F8" i="1"/>
  <c r="G8" i="1"/>
  <c r="H8" i="1"/>
  <c r="F10" i="1"/>
  <c r="G10" i="1"/>
  <c r="H10" i="1"/>
  <c r="P34" i="4"/>
  <c r="N22" i="1"/>
  <c r="K24" i="1"/>
  <c r="L24" i="1"/>
  <c r="M24" i="1"/>
  <c r="K25" i="1"/>
  <c r="F65" i="3"/>
  <c r="G65" i="3"/>
  <c r="H65" i="3"/>
  <c r="L13" i="8"/>
  <c r="L15" i="8" s="1"/>
  <c r="M7" i="8"/>
  <c r="N15" i="8" s="1"/>
  <c r="N22" i="8" s="1"/>
  <c r="C47" i="8" s="1"/>
  <c r="M8" i="8"/>
  <c r="M9" i="8"/>
  <c r="M10" i="8"/>
  <c r="M11" i="8"/>
  <c r="M12" i="8"/>
  <c r="M13" i="8"/>
  <c r="O27" i="4"/>
  <c r="P27" i="4"/>
  <c r="Q27" i="4"/>
  <c r="R27" i="4"/>
  <c r="P25" i="4"/>
  <c r="Q25" i="4"/>
  <c r="R25" i="4"/>
  <c r="O25" i="4"/>
  <c r="S21" i="4"/>
  <c r="T21" i="4"/>
  <c r="R21" i="4"/>
  <c r="K35" i="6"/>
  <c r="I258" i="6"/>
  <c r="I261" i="6"/>
  <c r="J35" i="6"/>
  <c r="H258" i="6" s="1"/>
  <c r="S23" i="4"/>
  <c r="P21" i="4"/>
  <c r="Q21" i="4"/>
  <c r="O21" i="4"/>
  <c r="M225" i="6"/>
  <c r="N225" i="6" s="1"/>
  <c r="K231" i="6"/>
  <c r="K242" i="6"/>
  <c r="L231" i="6"/>
  <c r="L242" i="6"/>
  <c r="I48" i="3"/>
  <c r="J242" i="6"/>
  <c r="N26" i="3"/>
  <c r="G39" i="3"/>
  <c r="H39" i="3"/>
  <c r="F39" i="3"/>
  <c r="G45" i="1"/>
  <c r="D45" i="1"/>
  <c r="C45" i="1"/>
  <c r="H45" i="1"/>
  <c r="I49" i="3"/>
  <c r="I43" i="3" s="1"/>
  <c r="J49" i="3"/>
  <c r="J43" i="3" s="1"/>
  <c r="K49" i="3"/>
  <c r="K43" i="3" s="1"/>
  <c r="L49" i="3"/>
  <c r="N27" i="3"/>
  <c r="Q180" i="6"/>
  <c r="Q176" i="6"/>
  <c r="R175" i="6"/>
  <c r="S144" i="6"/>
  <c r="J225" i="6"/>
  <c r="K225" i="6"/>
  <c r="Q70" i="6"/>
  <c r="Q71" i="6" s="1"/>
  <c r="J45" i="3"/>
  <c r="I45" i="3"/>
  <c r="G236" i="4"/>
  <c r="G238" i="4" s="1"/>
  <c r="G252" i="4"/>
  <c r="G251" i="4"/>
  <c r="G250" i="4"/>
  <c r="G249" i="4"/>
  <c r="G248" i="4"/>
  <c r="G237" i="4"/>
  <c r="G239" i="4" s="1"/>
  <c r="G240" i="4"/>
  <c r="F240" i="4"/>
  <c r="G244" i="4"/>
  <c r="G221" i="4"/>
  <c r="G224" i="4" s="1"/>
  <c r="G85" i="4"/>
  <c r="G87" i="4" s="1"/>
  <c r="G198" i="4" s="1"/>
  <c r="G223" i="4"/>
  <c r="G214" i="4"/>
  <c r="G217" i="4" s="1"/>
  <c r="G215" i="4"/>
  <c r="G216" i="4"/>
  <c r="G210" i="4"/>
  <c r="G211" i="4"/>
  <c r="G69" i="4"/>
  <c r="G188" i="4" s="1"/>
  <c r="G77" i="4"/>
  <c r="G47" i="4"/>
  <c r="G49" i="4" s="1"/>
  <c r="G203" i="4"/>
  <c r="G13" i="4"/>
  <c r="G205" i="4"/>
  <c r="G96" i="4"/>
  <c r="G112" i="4" s="1"/>
  <c r="G191" i="4"/>
  <c r="G180" i="4"/>
  <c r="G192" i="4"/>
  <c r="G181" i="4"/>
  <c r="G193" i="4" s="1"/>
  <c r="G182" i="4"/>
  <c r="G194" i="4"/>
  <c r="F47" i="4"/>
  <c r="F49" i="4"/>
  <c r="F60" i="4"/>
  <c r="G161" i="4"/>
  <c r="G183" i="4" s="1"/>
  <c r="G184" i="4"/>
  <c r="G171" i="4"/>
  <c r="G156" i="4"/>
  <c r="G173" i="4" s="1"/>
  <c r="G174" i="4"/>
  <c r="F13" i="4"/>
  <c r="F15" i="4" s="1"/>
  <c r="F20" i="4" s="1"/>
  <c r="F22" i="4" s="1"/>
  <c r="F26" i="4"/>
  <c r="G176" i="4"/>
  <c r="G147" i="4"/>
  <c r="G143" i="4"/>
  <c r="G130" i="4"/>
  <c r="I179" i="6"/>
  <c r="J179" i="6" s="1"/>
  <c r="I180" i="6"/>
  <c r="J180" i="6"/>
  <c r="K180" i="6" s="1"/>
  <c r="I176" i="6"/>
  <c r="I177" i="6"/>
  <c r="L177" i="6" s="1"/>
  <c r="J177" i="6"/>
  <c r="K177" i="6" s="1"/>
  <c r="I181" i="6"/>
  <c r="J181" i="6" s="1"/>
  <c r="I182" i="6"/>
  <c r="J182" i="6"/>
  <c r="I183" i="6"/>
  <c r="J183" i="6"/>
  <c r="M183" i="6" s="1"/>
  <c r="K183" i="6"/>
  <c r="L183" i="6"/>
  <c r="I172" i="6"/>
  <c r="J172" i="6" s="1"/>
  <c r="I170" i="6"/>
  <c r="J170" i="6" s="1"/>
  <c r="K169" i="6"/>
  <c r="N168" i="6"/>
  <c r="N167" i="6"/>
  <c r="F148" i="6"/>
  <c r="G148" i="6"/>
  <c r="H148" i="6"/>
  <c r="H89" i="6"/>
  <c r="G66" i="6"/>
  <c r="G68" i="6" s="1"/>
  <c r="G73" i="6" s="1"/>
  <c r="F66" i="6"/>
  <c r="F68" i="6" s="1"/>
  <c r="F73" i="6" s="1"/>
  <c r="D34" i="1"/>
  <c r="G49" i="6" s="1"/>
  <c r="E34" i="1"/>
  <c r="E36" i="1" s="1"/>
  <c r="H49" i="6"/>
  <c r="F34" i="1"/>
  <c r="F36" i="1" s="1"/>
  <c r="I49" i="6"/>
  <c r="H34" i="1"/>
  <c r="K49" i="6" s="1"/>
  <c r="C34" i="1"/>
  <c r="F49" i="6" s="1"/>
  <c r="L26" i="6"/>
  <c r="M26" i="6"/>
  <c r="K17" i="6"/>
  <c r="L17" i="6"/>
  <c r="D3" i="6"/>
  <c r="D53" i="6" s="1"/>
  <c r="J26" i="6"/>
  <c r="K26" i="6"/>
  <c r="H34" i="6"/>
  <c r="J34" i="6"/>
  <c r="K34" i="6"/>
  <c r="I35" i="6"/>
  <c r="F42" i="6"/>
  <c r="G42" i="6"/>
  <c r="H42" i="6"/>
  <c r="I44" i="6"/>
  <c r="J44" i="6"/>
  <c r="K44" i="6"/>
  <c r="L58" i="6"/>
  <c r="M58" i="6"/>
  <c r="G87" i="6"/>
  <c r="F89" i="6"/>
  <c r="G89" i="6"/>
  <c r="F101" i="6"/>
  <c r="G101" i="6"/>
  <c r="H101" i="6"/>
  <c r="H117" i="6" s="1"/>
  <c r="H122" i="6" s="1"/>
  <c r="F117" i="6"/>
  <c r="F122" i="6" s="1"/>
  <c r="G117" i="6"/>
  <c r="G122" i="6" s="1"/>
  <c r="F135" i="6"/>
  <c r="G135" i="6"/>
  <c r="H135" i="6"/>
  <c r="F152" i="6"/>
  <c r="G152" i="6"/>
  <c r="L156" i="6"/>
  <c r="F171" i="6"/>
  <c r="G171" i="6"/>
  <c r="H171" i="6"/>
  <c r="H173" i="6" s="1"/>
  <c r="H184" i="6" s="1"/>
  <c r="F173" i="6"/>
  <c r="F184" i="6" s="1"/>
  <c r="G173" i="6"/>
  <c r="G184" i="6" s="1"/>
  <c r="F193" i="6"/>
  <c r="G193" i="6"/>
  <c r="G201" i="6" s="1"/>
  <c r="H193" i="6"/>
  <c r="I193" i="6"/>
  <c r="J193" i="6"/>
  <c r="J201" i="6" s="1"/>
  <c r="J212" i="6" s="1"/>
  <c r="K193" i="6"/>
  <c r="L193" i="6"/>
  <c r="M193" i="6"/>
  <c r="N193" i="6"/>
  <c r="F201" i="6"/>
  <c r="F212" i="6" s="1"/>
  <c r="H201" i="6"/>
  <c r="I201" i="6"/>
  <c r="I212" i="6" s="1"/>
  <c r="K201" i="6"/>
  <c r="L201" i="6"/>
  <c r="M201" i="6"/>
  <c r="N201" i="6"/>
  <c r="N212" i="6" s="1"/>
  <c r="F209" i="6"/>
  <c r="F211" i="6" s="1"/>
  <c r="G209" i="6"/>
  <c r="G211" i="6" s="1"/>
  <c r="H209" i="6"/>
  <c r="H211" i="6" s="1"/>
  <c r="I211" i="6"/>
  <c r="J211" i="6"/>
  <c r="K211" i="6"/>
  <c r="K212" i="6" s="1"/>
  <c r="L211" i="6"/>
  <c r="L212" i="6" s="1"/>
  <c r="M211" i="6"/>
  <c r="M212" i="6" s="1"/>
  <c r="N211" i="6"/>
  <c r="L216" i="6"/>
  <c r="D248" i="6"/>
  <c r="G258" i="6"/>
  <c r="G259" i="6"/>
  <c r="L275" i="6"/>
  <c r="E37" i="1"/>
  <c r="D5" i="3"/>
  <c r="N37" i="3"/>
  <c r="H26" i="3"/>
  <c r="H27" i="3"/>
  <c r="F26" i="3"/>
  <c r="F27" i="3" s="1"/>
  <c r="N15" i="3"/>
  <c r="M15" i="3"/>
  <c r="L15" i="3"/>
  <c r="K15" i="3"/>
  <c r="J15" i="3"/>
  <c r="I15" i="3"/>
  <c r="H47" i="1"/>
  <c r="G47" i="1"/>
  <c r="F47" i="1"/>
  <c r="E47" i="1"/>
  <c r="D47" i="1"/>
  <c r="C47" i="1"/>
  <c r="H46" i="1"/>
  <c r="G46" i="1"/>
  <c r="F46" i="1"/>
  <c r="E46" i="1"/>
  <c r="D46" i="1"/>
  <c r="H38" i="1"/>
  <c r="H40" i="1" s="1"/>
  <c r="H39" i="1"/>
  <c r="G38" i="1"/>
  <c r="G39" i="1"/>
  <c r="G40" i="1"/>
  <c r="F38" i="1"/>
  <c r="F40" i="1" s="1"/>
  <c r="F39" i="1"/>
  <c r="E38" i="1"/>
  <c r="E39" i="1"/>
  <c r="E40" i="1" s="1"/>
  <c r="D38" i="1"/>
  <c r="D39" i="1"/>
  <c r="D40" i="1"/>
  <c r="C38" i="1"/>
  <c r="C40" i="1" s="1"/>
  <c r="C39" i="1"/>
  <c r="H37" i="1"/>
  <c r="G37" i="1"/>
  <c r="F37" i="1"/>
  <c r="D37" i="1"/>
  <c r="H36" i="1"/>
  <c r="G36" i="1"/>
  <c r="D36" i="1"/>
  <c r="H28" i="1"/>
  <c r="G28" i="1"/>
  <c r="F28" i="1"/>
  <c r="E28" i="1"/>
  <c r="D28" i="1"/>
  <c r="H27" i="1"/>
  <c r="G27" i="1"/>
  <c r="F27" i="1"/>
  <c r="E27" i="1"/>
  <c r="D27" i="1"/>
  <c r="C27" i="1"/>
  <c r="E17" i="1"/>
  <c r="D17" i="1"/>
  <c r="C254" i="4"/>
  <c r="C253" i="4"/>
  <c r="C252" i="4"/>
  <c r="F251" i="4"/>
  <c r="E251" i="4"/>
  <c r="D251" i="4"/>
  <c r="C251" i="4"/>
  <c r="F250" i="4"/>
  <c r="E250" i="4"/>
  <c r="D250" i="4"/>
  <c r="C250" i="4"/>
  <c r="F249" i="4"/>
  <c r="E249" i="4"/>
  <c r="D249" i="4"/>
  <c r="C249" i="4"/>
  <c r="F248" i="4"/>
  <c r="E248" i="4"/>
  <c r="D248" i="4"/>
  <c r="C248" i="4"/>
  <c r="E240" i="4"/>
  <c r="F244" i="4"/>
  <c r="D240" i="4"/>
  <c r="E244" i="4"/>
  <c r="F233" i="4"/>
  <c r="F239" i="4" s="1"/>
  <c r="F237" i="4"/>
  <c r="F236" i="4"/>
  <c r="E233" i="4"/>
  <c r="E237" i="4"/>
  <c r="E236" i="4"/>
  <c r="E239" i="4"/>
  <c r="F238" i="4"/>
  <c r="E238" i="4"/>
  <c r="D233" i="4"/>
  <c r="F232" i="4"/>
  <c r="E232" i="4"/>
  <c r="D232" i="4"/>
  <c r="F221" i="4"/>
  <c r="F224" i="4"/>
  <c r="E221" i="4"/>
  <c r="E224" i="4" s="1"/>
  <c r="D221" i="4"/>
  <c r="D224" i="4"/>
  <c r="F223" i="4"/>
  <c r="E223" i="4"/>
  <c r="D223" i="4"/>
  <c r="F222" i="4"/>
  <c r="E222" i="4"/>
  <c r="F214" i="4"/>
  <c r="F218" i="4"/>
  <c r="E214" i="4"/>
  <c r="E218" i="4"/>
  <c r="D214" i="4"/>
  <c r="D217" i="4" s="1"/>
  <c r="D218" i="4"/>
  <c r="F217" i="4"/>
  <c r="E217" i="4"/>
  <c r="F216" i="4"/>
  <c r="E216" i="4"/>
  <c r="D216" i="4"/>
  <c r="F215" i="4"/>
  <c r="E215" i="4"/>
  <c r="D215" i="4"/>
  <c r="F211" i="4"/>
  <c r="E211" i="4"/>
  <c r="D211" i="4"/>
  <c r="F210" i="4"/>
  <c r="E210" i="4"/>
  <c r="D210" i="4"/>
  <c r="F96" i="4"/>
  <c r="F112" i="4"/>
  <c r="F117" i="4"/>
  <c r="E96" i="4"/>
  <c r="E112" i="4"/>
  <c r="E117" i="4"/>
  <c r="E154" i="4" s="1"/>
  <c r="E207" i="4" s="1"/>
  <c r="D96" i="4"/>
  <c r="D112" i="4" s="1"/>
  <c r="D117" i="4" s="1"/>
  <c r="D154" i="4" s="1"/>
  <c r="D207" i="4"/>
  <c r="F206" i="4"/>
  <c r="E206" i="4"/>
  <c r="D206" i="4"/>
  <c r="F205" i="4"/>
  <c r="D205" i="4"/>
  <c r="F204" i="4"/>
  <c r="E204" i="4"/>
  <c r="D204" i="4"/>
  <c r="F203" i="4"/>
  <c r="D203" i="4"/>
  <c r="F202" i="4"/>
  <c r="E202" i="4"/>
  <c r="F201" i="4"/>
  <c r="E201" i="4"/>
  <c r="F200" i="4"/>
  <c r="E47" i="4"/>
  <c r="E49" i="4"/>
  <c r="D47" i="4"/>
  <c r="D49" i="4"/>
  <c r="D187" i="4" s="1"/>
  <c r="D60" i="4"/>
  <c r="D200" i="4" s="1"/>
  <c r="F199" i="4"/>
  <c r="E199" i="4"/>
  <c r="F69" i="4"/>
  <c r="F77" i="4"/>
  <c r="F198" i="4"/>
  <c r="E198" i="4"/>
  <c r="F180" i="4"/>
  <c r="F192" i="4"/>
  <c r="F195" i="4" s="1"/>
  <c r="F181" i="4"/>
  <c r="F193" i="4" s="1"/>
  <c r="F182" i="4"/>
  <c r="F194" i="4"/>
  <c r="E180" i="4"/>
  <c r="E192" i="4"/>
  <c r="E195" i="4" s="1"/>
  <c r="E181" i="4"/>
  <c r="E193" i="4" s="1"/>
  <c r="E182" i="4"/>
  <c r="E194" i="4"/>
  <c r="F191" i="4"/>
  <c r="E191" i="4"/>
  <c r="D191" i="4"/>
  <c r="F190" i="4"/>
  <c r="F189" i="4"/>
  <c r="E189" i="4"/>
  <c r="D189" i="4"/>
  <c r="F188" i="4"/>
  <c r="E188" i="4"/>
  <c r="D188" i="4"/>
  <c r="F187" i="4"/>
  <c r="F184" i="4"/>
  <c r="E184" i="4"/>
  <c r="D184" i="4"/>
  <c r="F161" i="4"/>
  <c r="F183" i="4"/>
  <c r="E161" i="4"/>
  <c r="E183" i="4" s="1"/>
  <c r="D161" i="4"/>
  <c r="D183" i="4"/>
  <c r="F174" i="4"/>
  <c r="D174" i="4"/>
  <c r="F156" i="4"/>
  <c r="F173" i="4"/>
  <c r="E156" i="4"/>
  <c r="E173" i="4"/>
  <c r="D156" i="4"/>
  <c r="D173" i="4" s="1"/>
  <c r="F172" i="4"/>
  <c r="E172" i="4"/>
  <c r="D172" i="4"/>
  <c r="F171" i="4"/>
  <c r="E171" i="4"/>
  <c r="D171" i="4"/>
  <c r="F163" i="4"/>
  <c r="E163" i="4"/>
  <c r="D163" i="4"/>
  <c r="F160" i="4"/>
  <c r="D160" i="4"/>
  <c r="F155" i="4"/>
  <c r="E155" i="4"/>
  <c r="D155" i="4"/>
  <c r="F147" i="4"/>
  <c r="E147" i="4"/>
  <c r="D147" i="4"/>
  <c r="F143" i="4"/>
  <c r="E143" i="4"/>
  <c r="D143" i="4"/>
  <c r="F130" i="4"/>
  <c r="E130" i="4"/>
  <c r="D130" i="4"/>
  <c r="F88" i="4"/>
  <c r="L16" i="11"/>
  <c r="L59" i="11" s="1"/>
  <c r="M16" i="11"/>
  <c r="M59" i="11" s="1"/>
  <c r="N16" i="11"/>
  <c r="O16" i="11"/>
  <c r="P16" i="11"/>
  <c r="P18" i="11" s="1"/>
  <c r="L18" i="11"/>
  <c r="M18" i="11"/>
  <c r="N18" i="11"/>
  <c r="O18" i="11"/>
  <c r="N59" i="11"/>
  <c r="O59" i="11"/>
  <c r="P59" i="11"/>
  <c r="D202" i="4" l="1"/>
  <c r="D88" i="4"/>
  <c r="I35" i="4" s="1"/>
  <c r="D199" i="4"/>
  <c r="M49" i="3"/>
  <c r="L43" i="3"/>
  <c r="F75" i="6"/>
  <c r="F79" i="6" s="1"/>
  <c r="F88" i="6"/>
  <c r="M169" i="6"/>
  <c r="L169" i="6"/>
  <c r="N169" i="6" s="1"/>
  <c r="D201" i="4"/>
  <c r="D198" i="4"/>
  <c r="G75" i="6"/>
  <c r="G79" i="6" s="1"/>
  <c r="G88" i="6"/>
  <c r="E205" i="4"/>
  <c r="F176" i="4"/>
  <c r="E190" i="4"/>
  <c r="E174" i="4"/>
  <c r="L141" i="6"/>
  <c r="M141" i="6" s="1"/>
  <c r="K23" i="6"/>
  <c r="K32" i="6"/>
  <c r="G22" i="6"/>
  <c r="G26" i="6"/>
  <c r="D222" i="4"/>
  <c r="F3" i="9"/>
  <c r="F154" i="4"/>
  <c r="F207" i="4" s="1"/>
  <c r="F153" i="4"/>
  <c r="J176" i="6"/>
  <c r="K176" i="6" s="1"/>
  <c r="G190" i="4"/>
  <c r="G117" i="4"/>
  <c r="I42" i="3"/>
  <c r="J48" i="3"/>
  <c r="E60" i="4"/>
  <c r="E187" i="4"/>
  <c r="E160" i="4"/>
  <c r="E203" i="4"/>
  <c r="K182" i="6"/>
  <c r="L182" i="6" s="1"/>
  <c r="G204" i="4"/>
  <c r="G155" i="4"/>
  <c r="G15" i="4"/>
  <c r="H68" i="6"/>
  <c r="H73" i="6" s="1"/>
  <c r="H87" i="6"/>
  <c r="I32" i="6"/>
  <c r="I23" i="6"/>
  <c r="I24" i="6" s="1"/>
  <c r="I28" i="6" s="1"/>
  <c r="M10" i="6"/>
  <c r="M11" i="6"/>
  <c r="M12" i="6" s="1"/>
  <c r="L180" i="6"/>
  <c r="M180" i="6"/>
  <c r="G195" i="4"/>
  <c r="H263" i="6"/>
  <c r="G263" i="6" s="1"/>
  <c r="H262" i="6"/>
  <c r="H261" i="6"/>
  <c r="L138" i="6"/>
  <c r="K138" i="6"/>
  <c r="J368" i="6"/>
  <c r="I369" i="6"/>
  <c r="D17" i="8"/>
  <c r="D22" i="8"/>
  <c r="D23" i="8" s="1"/>
  <c r="D16" i="8"/>
  <c r="E16" i="8"/>
  <c r="H393" i="6"/>
  <c r="I393" i="6"/>
  <c r="H212" i="6"/>
  <c r="K172" i="6"/>
  <c r="L172" i="6"/>
  <c r="G187" i="4"/>
  <c r="G60" i="4"/>
  <c r="G160" i="4"/>
  <c r="R26" i="4"/>
  <c r="H17" i="6"/>
  <c r="G17" i="6"/>
  <c r="G13" i="6"/>
  <c r="G23" i="6" s="1"/>
  <c r="G25" i="6"/>
  <c r="P13" i="6"/>
  <c r="D153" i="4"/>
  <c r="G212" i="6"/>
  <c r="F87" i="6"/>
  <c r="G175" i="4"/>
  <c r="G199" i="4"/>
  <c r="O225" i="6"/>
  <c r="P225" i="6" s="1"/>
  <c r="Q225" i="6" s="1"/>
  <c r="J383" i="6"/>
  <c r="J32" i="6"/>
  <c r="J23" i="6"/>
  <c r="J24" i="6" s="1"/>
  <c r="J28" i="6" s="1"/>
  <c r="E153" i="4"/>
  <c r="D190" i="4"/>
  <c r="N183" i="6"/>
  <c r="J45" i="6"/>
  <c r="K375" i="6"/>
  <c r="K376" i="6" s="1"/>
  <c r="M177" i="6"/>
  <c r="N177" i="6" s="1"/>
  <c r="K179" i="6"/>
  <c r="G88" i="4"/>
  <c r="G222" i="4"/>
  <c r="G201" i="4"/>
  <c r="G202" i="4"/>
  <c r="I22" i="6"/>
  <c r="H26" i="6"/>
  <c r="I26" i="6"/>
  <c r="E176" i="4"/>
  <c r="I176" i="4" s="1"/>
  <c r="L37" i="3"/>
  <c r="L38" i="3" s="1"/>
  <c r="M9" i="3"/>
  <c r="M37" i="3" s="1"/>
  <c r="M38" i="3" s="1"/>
  <c r="N38" i="3" s="1"/>
  <c r="N133" i="6"/>
  <c r="J103" i="6"/>
  <c r="K103" i="6" s="1"/>
  <c r="G396" i="6"/>
  <c r="G398" i="6" s="1"/>
  <c r="G401" i="6"/>
  <c r="H427" i="6"/>
  <c r="J84" i="6"/>
  <c r="K139" i="6"/>
  <c r="L139" i="6"/>
  <c r="L115" i="6"/>
  <c r="M115" i="6" s="1"/>
  <c r="K134" i="6"/>
  <c r="N21" i="6"/>
  <c r="L170" i="6"/>
  <c r="G253" i="4"/>
  <c r="N6" i="1"/>
  <c r="I17" i="6"/>
  <c r="L116" i="6"/>
  <c r="M116" i="6" s="1"/>
  <c r="M114" i="6"/>
  <c r="J393" i="6"/>
  <c r="K392" i="6"/>
  <c r="H371" i="6"/>
  <c r="H373" i="6" s="1"/>
  <c r="I371" i="6" s="1"/>
  <c r="I373" i="6" s="1"/>
  <c r="J371" i="6" s="1"/>
  <c r="J373" i="6" s="1"/>
  <c r="K371" i="6" s="1"/>
  <c r="K373" i="6" s="1"/>
  <c r="L371" i="6" s="1"/>
  <c r="L373" i="6" s="1"/>
  <c r="H376" i="6"/>
  <c r="G376" i="6"/>
  <c r="J359" i="6"/>
  <c r="H359" i="6"/>
  <c r="K170" i="6"/>
  <c r="K181" i="6"/>
  <c r="L181" i="6" s="1"/>
  <c r="M181" i="6" s="1"/>
  <c r="G189" i="4"/>
  <c r="N10" i="1"/>
  <c r="I262" i="6"/>
  <c r="L114" i="6"/>
  <c r="G218" i="4"/>
  <c r="G369" i="6"/>
  <c r="F351" i="6"/>
  <c r="H271" i="6"/>
  <c r="I376" i="6"/>
  <c r="D6" i="10"/>
  <c r="I237" i="6"/>
  <c r="R32" i="11"/>
  <c r="I32" i="11"/>
  <c r="O32" i="11"/>
  <c r="L32" i="11"/>
  <c r="I31" i="11"/>
  <c r="O31" i="11"/>
  <c r="O33" i="11" s="1"/>
  <c r="C65" i="11"/>
  <c r="C36" i="11"/>
  <c r="L31" i="11"/>
  <c r="R31" i="11"/>
  <c r="K45" i="6"/>
  <c r="H379" i="6"/>
  <c r="H381" i="6" s="1"/>
  <c r="G384" i="6"/>
  <c r="J41" i="3"/>
  <c r="J40" i="3" s="1"/>
  <c r="J131" i="6" s="1"/>
  <c r="K47" i="3"/>
  <c r="J400" i="6"/>
  <c r="K18" i="11"/>
  <c r="K58" i="11" s="1"/>
  <c r="L66" i="11"/>
  <c r="G18" i="11"/>
  <c r="G24" i="6" l="1"/>
  <c r="G28" i="6" s="1"/>
  <c r="L28" i="6" s="1"/>
  <c r="H24" i="6"/>
  <c r="H28" i="6" s="1"/>
  <c r="L176" i="6"/>
  <c r="M176" i="6" s="1"/>
  <c r="C48" i="8"/>
  <c r="D24" i="8"/>
  <c r="C46" i="8" s="1"/>
  <c r="R66" i="11"/>
  <c r="C70" i="11"/>
  <c r="O65" i="11"/>
  <c r="R65" i="11"/>
  <c r="R67" i="11" s="1"/>
  <c r="I65" i="11"/>
  <c r="I67" i="11" s="1"/>
  <c r="L65" i="11"/>
  <c r="L67" i="11" s="1"/>
  <c r="M139" i="6"/>
  <c r="N139" i="6"/>
  <c r="L103" i="6"/>
  <c r="M172" i="6"/>
  <c r="N172" i="6"/>
  <c r="L134" i="6"/>
  <c r="N141" i="6"/>
  <c r="J135" i="6"/>
  <c r="H358" i="6" s="1"/>
  <c r="E6" i="10"/>
  <c r="I238" i="6"/>
  <c r="E200" i="4"/>
  <c r="F179" i="4"/>
  <c r="E179" i="4"/>
  <c r="E175" i="4"/>
  <c r="F175" i="4"/>
  <c r="K400" i="6"/>
  <c r="N181" i="6"/>
  <c r="K84" i="6"/>
  <c r="H420" i="6"/>
  <c r="H421" i="6" s="1"/>
  <c r="H434" i="6"/>
  <c r="H436" i="6" s="1"/>
  <c r="M103" i="6"/>
  <c r="N10" i="6"/>
  <c r="M16" i="6"/>
  <c r="M17" i="6" s="1"/>
  <c r="N12" i="6"/>
  <c r="O11" i="1"/>
  <c r="P12" i="1"/>
  <c r="P13" i="1" s="1"/>
  <c r="I33" i="11"/>
  <c r="N170" i="6"/>
  <c r="J376" i="6"/>
  <c r="N49" i="3"/>
  <c r="N43" i="3" s="1"/>
  <c r="M43" i="3"/>
  <c r="L36" i="11"/>
  <c r="L38" i="11" s="1"/>
  <c r="R36" i="11"/>
  <c r="I36" i="11"/>
  <c r="I38" i="11" s="1"/>
  <c r="C41" i="11"/>
  <c r="O36" i="11"/>
  <c r="O38" i="11" s="1"/>
  <c r="H15" i="6"/>
  <c r="H14" i="6"/>
  <c r="G15" i="6"/>
  <c r="G14" i="6"/>
  <c r="G20" i="4"/>
  <c r="G172" i="4"/>
  <c r="G349" i="6"/>
  <c r="I379" i="6"/>
  <c r="I381" i="6" s="1"/>
  <c r="J379" i="6" s="1"/>
  <c r="J381" i="6" s="1"/>
  <c r="K379" i="6" s="1"/>
  <c r="K381" i="6" s="1"/>
  <c r="H384" i="6"/>
  <c r="J369" i="6"/>
  <c r="K368" i="6"/>
  <c r="K369" i="6" s="1"/>
  <c r="N182" i="6"/>
  <c r="J42" i="3"/>
  <c r="K48" i="3"/>
  <c r="L23" i="6"/>
  <c r="K24" i="6"/>
  <c r="K28" i="6" s="1"/>
  <c r="F19" i="11"/>
  <c r="G58" i="11"/>
  <c r="R37" i="11"/>
  <c r="L392" i="6"/>
  <c r="L393" i="6" s="1"/>
  <c r="K393" i="6"/>
  <c r="L47" i="3"/>
  <c r="K41" i="3"/>
  <c r="K40" i="3" s="1"/>
  <c r="K131" i="6" s="1"/>
  <c r="K45" i="3"/>
  <c r="M29" i="6"/>
  <c r="M30" i="6" s="1"/>
  <c r="H396" i="6"/>
  <c r="H398" i="6" s="1"/>
  <c r="I384" i="6"/>
  <c r="Q13" i="6"/>
  <c r="Q15" i="6" s="1"/>
  <c r="P15" i="6"/>
  <c r="M182" i="6"/>
  <c r="I37" i="11"/>
  <c r="I66" i="11"/>
  <c r="O37" i="11"/>
  <c r="R33" i="11"/>
  <c r="J384" i="6"/>
  <c r="K383" i="6"/>
  <c r="K384" i="6" s="1"/>
  <c r="G200" i="4"/>
  <c r="G179" i="4"/>
  <c r="M138" i="6"/>
  <c r="G153" i="4"/>
  <c r="G206" i="4"/>
  <c r="G154" i="4"/>
  <c r="G207" i="4" s="1"/>
  <c r="M170" i="6"/>
  <c r="Q237" i="6"/>
  <c r="P237" i="6"/>
  <c r="M237" i="6"/>
  <c r="M242" i="6" s="1"/>
  <c r="O237" i="6"/>
  <c r="N237" i="6"/>
  <c r="O21" i="6"/>
  <c r="N29" i="6"/>
  <c r="N30" i="6" s="1"/>
  <c r="N22" i="6"/>
  <c r="N26" i="6"/>
  <c r="O66" i="11"/>
  <c r="L37" i="11"/>
  <c r="L33" i="11"/>
  <c r="G262" i="6"/>
  <c r="I277" i="6"/>
  <c r="L179" i="6"/>
  <c r="M179" i="6" s="1"/>
  <c r="N138" i="6"/>
  <c r="N180" i="6"/>
  <c r="H88" i="6"/>
  <c r="H75" i="6"/>
  <c r="H79" i="6" s="1"/>
  <c r="I41" i="11" l="1"/>
  <c r="O41" i="11"/>
  <c r="O43" i="11" s="1"/>
  <c r="L41" i="11"/>
  <c r="L43" i="11" s="1"/>
  <c r="C46" i="11"/>
  <c r="R41" i="11"/>
  <c r="R43" i="11" s="1"/>
  <c r="L42" i="11"/>
  <c r="O42" i="11"/>
  <c r="R42" i="11"/>
  <c r="I42" i="11"/>
  <c r="N176" i="6"/>
  <c r="L31" i="6"/>
  <c r="L24" i="6"/>
  <c r="M23" i="6"/>
  <c r="K42" i="3"/>
  <c r="L48" i="3"/>
  <c r="I396" i="6"/>
  <c r="I398" i="6" s="1"/>
  <c r="I401" i="6"/>
  <c r="G22" i="4"/>
  <c r="G163" i="4"/>
  <c r="N15" i="1"/>
  <c r="M15" i="1"/>
  <c r="O67" i="11"/>
  <c r="M134" i="6"/>
  <c r="N134" i="6" s="1"/>
  <c r="R38" i="11"/>
  <c r="H428" i="6"/>
  <c r="H360" i="6"/>
  <c r="P21" i="6"/>
  <c r="O29" i="6"/>
  <c r="O30" i="6" s="1"/>
  <c r="O22" i="6"/>
  <c r="O26" i="6"/>
  <c r="H401" i="6"/>
  <c r="L84" i="6"/>
  <c r="I434" i="6"/>
  <c r="I420" i="6"/>
  <c r="I421" i="6" s="1"/>
  <c r="C75" i="11"/>
  <c r="O70" i="11"/>
  <c r="O72" i="11" s="1"/>
  <c r="R70" i="11"/>
  <c r="R72" i="11" s="1"/>
  <c r="I70" i="11"/>
  <c r="L70" i="11"/>
  <c r="R71" i="11"/>
  <c r="O71" i="11"/>
  <c r="I71" i="11"/>
  <c r="L71" i="11"/>
  <c r="M47" i="3"/>
  <c r="L41" i="3"/>
  <c r="L40" i="3" s="1"/>
  <c r="L131" i="6" s="1"/>
  <c r="L45" i="3"/>
  <c r="I433" i="6"/>
  <c r="H438" i="6"/>
  <c r="N179" i="6"/>
  <c r="P238" i="6"/>
  <c r="Q238" i="6"/>
  <c r="N238" i="6"/>
  <c r="N242" i="6" s="1"/>
  <c r="O238" i="6"/>
  <c r="I67" i="6"/>
  <c r="I107" i="6"/>
  <c r="I239" i="6"/>
  <c r="F6" i="10"/>
  <c r="K135" i="6"/>
  <c r="I358" i="6" s="1"/>
  <c r="O10" i="6"/>
  <c r="N16" i="6"/>
  <c r="N17" i="6" s="1"/>
  <c r="O12" i="6"/>
  <c r="L400" i="6"/>
  <c r="C49" i="8"/>
  <c r="N103" i="6"/>
  <c r="J107" i="6" l="1"/>
  <c r="J67" i="6"/>
  <c r="L33" i="6"/>
  <c r="L32" i="6"/>
  <c r="M41" i="3"/>
  <c r="M40" i="3" s="1"/>
  <c r="M131" i="6" s="1"/>
  <c r="N47" i="3"/>
  <c r="M45" i="3"/>
  <c r="C80" i="11"/>
  <c r="R76" i="11"/>
  <c r="O75" i="11"/>
  <c r="O77" i="11" s="1"/>
  <c r="R75" i="11"/>
  <c r="R77" i="11" s="1"/>
  <c r="I75" i="11"/>
  <c r="I77" i="11" s="1"/>
  <c r="L75" i="11"/>
  <c r="L76" i="11"/>
  <c r="I76" i="11"/>
  <c r="O76" i="11"/>
  <c r="I428" i="6"/>
  <c r="I360" i="6"/>
  <c r="N23" i="6"/>
  <c r="M31" i="6"/>
  <c r="M24" i="6"/>
  <c r="P29" i="6"/>
  <c r="P30" i="6" s="1"/>
  <c r="Q21" i="6"/>
  <c r="P22" i="6"/>
  <c r="P26" i="6"/>
  <c r="L46" i="11"/>
  <c r="I46" i="11"/>
  <c r="I48" i="11" s="1"/>
  <c r="R46" i="11"/>
  <c r="O46" i="11"/>
  <c r="O48" i="11" s="1"/>
  <c r="L47" i="11"/>
  <c r="O47" i="11"/>
  <c r="R47" i="11"/>
  <c r="I47" i="11"/>
  <c r="I436" i="6"/>
  <c r="J420" i="6"/>
  <c r="J421" i="6" s="1"/>
  <c r="M84" i="6"/>
  <c r="J434" i="6"/>
  <c r="I43" i="11"/>
  <c r="P10" i="6"/>
  <c r="O16" i="6"/>
  <c r="O17" i="6" s="1"/>
  <c r="P12" i="6"/>
  <c r="J396" i="6"/>
  <c r="J398" i="6" s="1"/>
  <c r="J401" i="6" s="1"/>
  <c r="L72" i="11"/>
  <c r="O239" i="6"/>
  <c r="O242" i="6" s="1"/>
  <c r="Q239" i="6"/>
  <c r="P239" i="6"/>
  <c r="I72" i="11"/>
  <c r="L42" i="3"/>
  <c r="M48" i="3"/>
  <c r="I178" i="6"/>
  <c r="G6" i="10"/>
  <c r="L135" i="6"/>
  <c r="J358" i="6" s="1"/>
  <c r="I240" i="6"/>
  <c r="K107" i="6" l="1"/>
  <c r="K67" i="6"/>
  <c r="N41" i="3"/>
  <c r="N40" i="3" s="1"/>
  <c r="N131" i="6" s="1"/>
  <c r="N45" i="3"/>
  <c r="L77" i="11"/>
  <c r="H6" i="10"/>
  <c r="M135" i="6"/>
  <c r="K358" i="6" s="1"/>
  <c r="I241" i="6"/>
  <c r="Q241" i="6" s="1"/>
  <c r="Q242" i="6" s="1"/>
  <c r="N84" i="6"/>
  <c r="K434" i="6"/>
  <c r="K420" i="6"/>
  <c r="K421" i="6" s="1"/>
  <c r="R48" i="11"/>
  <c r="M33" i="6"/>
  <c r="M32" i="6"/>
  <c r="J178" i="6"/>
  <c r="K178" i="6"/>
  <c r="L178" i="6"/>
  <c r="M42" i="3"/>
  <c r="N48" i="3"/>
  <c r="N42" i="3" s="1"/>
  <c r="J428" i="6"/>
  <c r="J360" i="6"/>
  <c r="O23" i="6"/>
  <c r="N31" i="6"/>
  <c r="N24" i="6"/>
  <c r="L35" i="6"/>
  <c r="L25" i="6"/>
  <c r="L34" i="6"/>
  <c r="L48" i="11"/>
  <c r="O80" i="11"/>
  <c r="R80" i="11"/>
  <c r="I80" i="11"/>
  <c r="I82" i="11" s="1"/>
  <c r="L80" i="11"/>
  <c r="L82" i="11" s="1"/>
  <c r="R81" i="11"/>
  <c r="I81" i="11"/>
  <c r="L81" i="11"/>
  <c r="O81" i="11"/>
  <c r="K396" i="6"/>
  <c r="K398" i="6" s="1"/>
  <c r="K401" i="6"/>
  <c r="J433" i="6"/>
  <c r="J436" i="6" s="1"/>
  <c r="I438" i="6"/>
  <c r="Q240" i="6"/>
  <c r="P240" i="6"/>
  <c r="P242" i="6" s="1"/>
  <c r="P16" i="6"/>
  <c r="P17" i="6" s="1"/>
  <c r="Q10" i="6"/>
  <c r="Q16" i="6" s="1"/>
  <c r="Q17" i="6" s="1"/>
  <c r="Q12" i="6"/>
  <c r="Q29" i="6"/>
  <c r="Q30" i="6" s="1"/>
  <c r="Q26" i="6"/>
  <c r="Q22" i="6"/>
  <c r="M67" i="6" l="1"/>
  <c r="M107" i="6"/>
  <c r="I61" i="6"/>
  <c r="L48" i="6"/>
  <c r="L49" i="6"/>
  <c r="J258" i="6"/>
  <c r="J266" i="6" s="1"/>
  <c r="I65" i="6"/>
  <c r="N178" i="6"/>
  <c r="K433" i="6"/>
  <c r="K436" i="6" s="1"/>
  <c r="J438" i="6"/>
  <c r="N33" i="6"/>
  <c r="N32" i="6"/>
  <c r="R82" i="11"/>
  <c r="L396" i="6"/>
  <c r="L398" i="6" s="1"/>
  <c r="L401" i="6"/>
  <c r="O82" i="11"/>
  <c r="M35" i="6"/>
  <c r="M25" i="6"/>
  <c r="M34" i="6"/>
  <c r="P23" i="6"/>
  <c r="O31" i="6"/>
  <c r="O24" i="6"/>
  <c r="L420" i="6"/>
  <c r="L421" i="6" s="1"/>
  <c r="L434" i="6"/>
  <c r="K428" i="6"/>
  <c r="K360" i="6"/>
  <c r="I242" i="6"/>
  <c r="N67" i="6" s="1"/>
  <c r="I6" i="10"/>
  <c r="N135" i="6"/>
  <c r="L358" i="6" s="1"/>
  <c r="M178" i="6"/>
  <c r="L107" i="6"/>
  <c r="L67" i="6"/>
  <c r="L360" i="6" l="1"/>
  <c r="L428" i="6"/>
  <c r="O33" i="6"/>
  <c r="O32" i="6"/>
  <c r="J259" i="6"/>
  <c r="I63" i="6"/>
  <c r="I66" i="6" s="1"/>
  <c r="N34" i="6"/>
  <c r="N35" i="6"/>
  <c r="N25" i="6"/>
  <c r="I167" i="6"/>
  <c r="Q23" i="6"/>
  <c r="P24" i="6"/>
  <c r="P31" i="6"/>
  <c r="J61" i="6"/>
  <c r="M48" i="6"/>
  <c r="K258" i="6"/>
  <c r="K266" i="6" s="1"/>
  <c r="J65" i="6"/>
  <c r="M49" i="6"/>
  <c r="K438" i="6"/>
  <c r="L433" i="6"/>
  <c r="L436" i="6" s="1"/>
  <c r="L438" i="6" s="1"/>
  <c r="I68" i="6" l="1"/>
  <c r="I87" i="6"/>
  <c r="K61" i="6"/>
  <c r="L258" i="6"/>
  <c r="L266" i="6" s="1"/>
  <c r="N48" i="6"/>
  <c r="K65" i="6"/>
  <c r="N49" i="6"/>
  <c r="P33" i="6"/>
  <c r="P32" i="6"/>
  <c r="J267" i="6"/>
  <c r="J268" i="6"/>
  <c r="O34" i="6"/>
  <c r="O25" i="6"/>
  <c r="O35" i="6"/>
  <c r="Q24" i="6"/>
  <c r="Q31" i="6"/>
  <c r="J167" i="6"/>
  <c r="J63" i="6"/>
  <c r="J66" i="6" s="1"/>
  <c r="K259" i="6"/>
  <c r="J68" i="6" l="1"/>
  <c r="J87" i="6"/>
  <c r="Q32" i="6"/>
  <c r="Q33" i="6"/>
  <c r="L61" i="6"/>
  <c r="M258" i="6"/>
  <c r="M266" i="6" s="1"/>
  <c r="O48" i="6"/>
  <c r="O49" i="6"/>
  <c r="L65" i="6"/>
  <c r="P25" i="6"/>
  <c r="P35" i="6"/>
  <c r="P34" i="6"/>
  <c r="K267" i="6"/>
  <c r="K268" i="6"/>
  <c r="L259" i="6"/>
  <c r="K63" i="6"/>
  <c r="K66" i="6" s="1"/>
  <c r="K167" i="6"/>
  <c r="I168" i="6"/>
  <c r="J269" i="6"/>
  <c r="J271" i="6" s="1"/>
  <c r="I119" i="6" s="1"/>
  <c r="K87" i="6" l="1"/>
  <c r="K68" i="6"/>
  <c r="L267" i="6"/>
  <c r="L268" i="6"/>
  <c r="L63" i="6"/>
  <c r="L66" i="6" s="1"/>
  <c r="M259" i="6"/>
  <c r="L167" i="6"/>
  <c r="J168" i="6"/>
  <c r="K269" i="6"/>
  <c r="K271" i="6" s="1"/>
  <c r="J119" i="6" s="1"/>
  <c r="Q35" i="6"/>
  <c r="Q25" i="6"/>
  <c r="Q34" i="6"/>
  <c r="P48" i="6"/>
  <c r="M65" i="6"/>
  <c r="N258" i="6"/>
  <c r="N266" i="6" s="1"/>
  <c r="M61" i="6"/>
  <c r="P49" i="6"/>
  <c r="L87" i="6" l="1"/>
  <c r="L68" i="6"/>
  <c r="N259" i="6"/>
  <c r="M63" i="6"/>
  <c r="M267" i="6"/>
  <c r="M268" i="6"/>
  <c r="N61" i="6"/>
  <c r="N66" i="6" s="1"/>
  <c r="Q48" i="6"/>
  <c r="N63" i="6" s="1"/>
  <c r="N65" i="6"/>
  <c r="Q49" i="6"/>
  <c r="K168" i="6"/>
  <c r="L269" i="6"/>
  <c r="L271" i="6" s="1"/>
  <c r="K119" i="6" s="1"/>
  <c r="M66" i="6"/>
  <c r="M167" i="6"/>
  <c r="M87" i="6" l="1"/>
  <c r="M68" i="6"/>
  <c r="L168" i="6"/>
  <c r="M269" i="6"/>
  <c r="M271" i="6" s="1"/>
  <c r="L119" i="6" s="1"/>
  <c r="N68" i="6"/>
  <c r="N87" i="6"/>
  <c r="N267" i="6"/>
  <c r="N268" i="6"/>
  <c r="M168" i="6" l="1"/>
  <c r="N269" i="6"/>
  <c r="N271" i="6" s="1"/>
  <c r="M119" i="6" s="1"/>
  <c r="I69" i="6"/>
  <c r="J69" i="6"/>
  <c r="K69" i="6"/>
  <c r="L69" i="6"/>
  <c r="M69" i="6"/>
  <c r="N69" i="6"/>
  <c r="I73" i="6"/>
  <c r="J73" i="6"/>
  <c r="K73" i="6"/>
  <c r="L73" i="6"/>
  <c r="M73" i="6"/>
  <c r="N73" i="6"/>
  <c r="I74" i="6"/>
  <c r="J74" i="6"/>
  <c r="K74" i="6"/>
  <c r="L74" i="6"/>
  <c r="M74" i="6"/>
  <c r="N74" i="6"/>
  <c r="I75" i="6"/>
  <c r="J75" i="6"/>
  <c r="K75" i="6"/>
  <c r="L75" i="6"/>
  <c r="M75" i="6"/>
  <c r="N75" i="6"/>
  <c r="I79" i="6"/>
  <c r="J79" i="6"/>
  <c r="K79" i="6"/>
  <c r="L79" i="6"/>
  <c r="M79" i="6"/>
  <c r="N79" i="6"/>
  <c r="I82" i="6"/>
  <c r="J82" i="6"/>
  <c r="K82" i="6"/>
  <c r="L82" i="6"/>
  <c r="M82" i="6"/>
  <c r="N82" i="6"/>
  <c r="I83" i="6"/>
  <c r="J83" i="6"/>
  <c r="K83" i="6"/>
  <c r="L83" i="6"/>
  <c r="M83" i="6"/>
  <c r="N83" i="6"/>
  <c r="O85" i="6"/>
  <c r="P85" i="6"/>
  <c r="Q85" i="6"/>
  <c r="R85" i="6"/>
  <c r="S85" i="6"/>
  <c r="T85" i="6"/>
  <c r="I88" i="6"/>
  <c r="J88" i="6"/>
  <c r="K88" i="6"/>
  <c r="L88" i="6"/>
  <c r="M88" i="6"/>
  <c r="N88" i="6"/>
  <c r="I99" i="6"/>
  <c r="J99" i="6"/>
  <c r="K99" i="6"/>
  <c r="L99" i="6"/>
  <c r="M99" i="6"/>
  <c r="N99" i="6"/>
  <c r="I101" i="6"/>
  <c r="J101" i="6"/>
  <c r="K101" i="6"/>
  <c r="L101" i="6"/>
  <c r="M101" i="6"/>
  <c r="N101" i="6"/>
  <c r="I117" i="6"/>
  <c r="J117" i="6"/>
  <c r="K117" i="6"/>
  <c r="L117" i="6"/>
  <c r="M117" i="6"/>
  <c r="N117" i="6"/>
  <c r="I120" i="6"/>
  <c r="J120" i="6"/>
  <c r="K120" i="6"/>
  <c r="L120" i="6"/>
  <c r="M120" i="6"/>
  <c r="N120" i="6"/>
  <c r="I121" i="6"/>
  <c r="J121" i="6"/>
  <c r="K121" i="6"/>
  <c r="L121" i="6"/>
  <c r="M121" i="6"/>
  <c r="N121" i="6"/>
  <c r="I122" i="6"/>
  <c r="J122" i="6"/>
  <c r="K122" i="6"/>
  <c r="L122" i="6"/>
  <c r="M122" i="6"/>
  <c r="N122" i="6"/>
  <c r="I147" i="6"/>
  <c r="J147" i="6"/>
  <c r="K147" i="6"/>
  <c r="L147" i="6"/>
  <c r="M147" i="6"/>
  <c r="N147" i="6"/>
  <c r="I148" i="6"/>
  <c r="J148" i="6"/>
  <c r="K148" i="6"/>
  <c r="L148" i="6"/>
  <c r="M148" i="6"/>
  <c r="N148" i="6"/>
  <c r="I150" i="6"/>
  <c r="J150" i="6"/>
  <c r="K150" i="6"/>
  <c r="L150" i="6"/>
  <c r="M150" i="6"/>
  <c r="N150" i="6"/>
  <c r="J151" i="6"/>
  <c r="K151" i="6"/>
  <c r="L151" i="6"/>
  <c r="M151" i="6"/>
  <c r="N151" i="6"/>
  <c r="I152" i="6"/>
  <c r="J152" i="6"/>
  <c r="K152" i="6"/>
  <c r="L152" i="6"/>
  <c r="M152" i="6"/>
  <c r="N152" i="6"/>
  <c r="I166" i="6"/>
  <c r="J166" i="6"/>
  <c r="K166" i="6"/>
  <c r="L166" i="6"/>
  <c r="M166" i="6"/>
  <c r="N166" i="6"/>
  <c r="I171" i="6"/>
  <c r="J171" i="6"/>
  <c r="K171" i="6"/>
  <c r="L171" i="6"/>
  <c r="M171" i="6"/>
  <c r="N171" i="6"/>
  <c r="I173" i="6"/>
  <c r="J173" i="6"/>
  <c r="K173" i="6"/>
  <c r="L173" i="6"/>
  <c r="M173" i="6"/>
  <c r="N173" i="6"/>
  <c r="I184" i="6"/>
  <c r="J184" i="6"/>
  <c r="K184" i="6"/>
  <c r="L184" i="6"/>
  <c r="M184" i="6"/>
  <c r="N184" i="6"/>
  <c r="H349" i="6"/>
  <c r="I349" i="6"/>
  <c r="J349" i="6"/>
  <c r="K349" i="6"/>
  <c r="L349" i="6"/>
  <c r="G350" i="6"/>
  <c r="H350" i="6"/>
  <c r="I350" i="6"/>
  <c r="J350" i="6"/>
  <c r="K350" i="6"/>
  <c r="L350" i="6"/>
  <c r="G351" i="6"/>
  <c r="H351" i="6"/>
  <c r="I351" i="6"/>
  <c r="J351" i="6"/>
  <c r="K351" i="6"/>
  <c r="L351" i="6"/>
  <c r="G354" i="6"/>
  <c r="H354" i="6"/>
  <c r="I354" i="6"/>
  <c r="J354" i="6"/>
  <c r="K354" i="6"/>
  <c r="L354" i="6"/>
  <c r="G357" i="6"/>
  <c r="H357" i="6"/>
  <c r="I357" i="6"/>
  <c r="J357" i="6"/>
  <c r="K357" i="6"/>
  <c r="L357" i="6"/>
  <c r="G362" i="6"/>
  <c r="H362" i="6"/>
  <c r="I362" i="6"/>
  <c r="J362" i="6"/>
  <c r="K362" i="6"/>
  <c r="L362" i="6"/>
  <c r="G403" i="6"/>
  <c r="H403" i="6"/>
  <c r="I403" i="6"/>
  <c r="J403" i="6"/>
  <c r="K403" i="6"/>
  <c r="L403" i="6"/>
  <c r="H425" i="6"/>
  <c r="I425" i="6"/>
  <c r="J425" i="6"/>
  <c r="K425" i="6"/>
  <c r="L425" i="6"/>
  <c r="G426" i="6"/>
  <c r="H426" i="6"/>
  <c r="I426" i="6"/>
  <c r="J426" i="6"/>
  <c r="K426" i="6"/>
  <c r="L426" i="6"/>
  <c r="G429" i="6"/>
  <c r="H429" i="6"/>
  <c r="I429" i="6"/>
  <c r="J429" i="6"/>
  <c r="K429" i="6"/>
  <c r="L429" i="6"/>
  <c r="D4" i="10"/>
  <c r="E4" i="10"/>
  <c r="F4" i="10"/>
  <c r="G4" i="10"/>
  <c r="H4" i="10"/>
  <c r="I4" i="10"/>
  <c r="D5" i="10"/>
  <c r="E5" i="10"/>
  <c r="F5" i="10"/>
  <c r="G5" i="10"/>
  <c r="H5" i="10"/>
  <c r="I5" i="10"/>
  <c r="D7" i="10"/>
  <c r="E7" i="10"/>
  <c r="F7" i="10"/>
  <c r="G7" i="10"/>
  <c r="H7" i="10"/>
  <c r="I7" i="10"/>
  <c r="D8" i="10"/>
  <c r="I8" i="10"/>
  <c r="D9" i="10"/>
  <c r="E9" i="10"/>
  <c r="F9" i="10"/>
  <c r="G9" i="10"/>
  <c r="H9" i="10"/>
  <c r="I9" i="10"/>
  <c r="K10" i="10"/>
  <c r="C11" i="10"/>
  <c r="D21" i="10"/>
  <c r="E21" i="10"/>
  <c r="F21" i="10"/>
  <c r="G21" i="10"/>
  <c r="H21" i="10"/>
  <c r="I21" i="10"/>
  <c r="D22" i="10"/>
  <c r="E22" i="10"/>
  <c r="F22" i="10"/>
  <c r="G22" i="10"/>
  <c r="H22" i="10"/>
  <c r="I22" i="10"/>
  <c r="I23" i="10"/>
  <c r="K24" i="10"/>
  <c r="K28" i="10"/>
</calcChain>
</file>

<file path=xl/sharedStrings.xml><?xml version="1.0" encoding="utf-8"?>
<sst xmlns="http://schemas.openxmlformats.org/spreadsheetml/2006/main" count="1210" uniqueCount="773">
  <si>
    <t>Financial Analysis</t>
  </si>
  <si>
    <t>(%)</t>
  </si>
  <si>
    <t>(C$ MM)</t>
  </si>
  <si>
    <t>Total</t>
  </si>
  <si>
    <t>Increase in Total  Sales</t>
  </si>
  <si>
    <t>-</t>
  </si>
  <si>
    <t>New stores (additions during the year)</t>
  </si>
  <si>
    <t>(stores)</t>
  </si>
  <si>
    <t>(C$MM/store)</t>
  </si>
  <si>
    <t>Total sq feet (mm)</t>
  </si>
  <si>
    <t>Sq Feet (mm) per store</t>
  </si>
  <si>
    <t>(Sq.feet/store)</t>
  </si>
  <si>
    <t>Increase in total sales/sq. foot</t>
  </si>
  <si>
    <t>Operating  Expenses</t>
  </si>
  <si>
    <t>YoY increase in operating expenses</t>
  </si>
  <si>
    <t>YoY increase in sales</t>
  </si>
  <si>
    <t>% of COGS in sales</t>
  </si>
  <si>
    <t>% of administrative expenses in sales</t>
  </si>
  <si>
    <t>% of COGS and operating expenses in sales</t>
  </si>
  <si>
    <t>CAPEX</t>
  </si>
  <si>
    <t>Increase in CAPEX</t>
  </si>
  <si>
    <t>(C$mm/store)</t>
  </si>
  <si>
    <t>Sales</t>
  </si>
  <si>
    <t>Equity</t>
  </si>
  <si>
    <t>Accounts Receivable</t>
  </si>
  <si>
    <t>Metro Inc.</t>
  </si>
  <si>
    <t>GDP Growth</t>
  </si>
  <si>
    <t>% Change YoY</t>
  </si>
  <si>
    <t>Metro's sales growth minus GDP growth</t>
  </si>
  <si>
    <t>Stores Sales</t>
  </si>
  <si>
    <t>Total number of supermakets &amp; discount stores</t>
  </si>
  <si>
    <t>COGS</t>
  </si>
  <si>
    <t>Capital Expenditures</t>
  </si>
  <si>
    <t>CAPEX - per total stores</t>
  </si>
  <si>
    <t>Other Operating Expenses</t>
  </si>
  <si>
    <t>First year of forecast in financial model:</t>
  </si>
  <si>
    <t>Associate Interest assumed constant</t>
  </si>
  <si>
    <t xml:space="preserve">Base Case </t>
  </si>
  <si>
    <t xml:space="preserve">Best Case </t>
  </si>
  <si>
    <t xml:space="preserve">Worst Case </t>
  </si>
  <si>
    <t>Interest Rates</t>
  </si>
  <si>
    <t xml:space="preserve">WORKING CAPITAL DAYS </t>
  </si>
  <si>
    <t>(Days)</t>
  </si>
  <si>
    <t>Inventories</t>
  </si>
  <si>
    <t>Accounts Payable</t>
  </si>
  <si>
    <t>General Assumptions</t>
  </si>
  <si>
    <t>Sales Growth</t>
  </si>
  <si>
    <t>2014 - 2015</t>
  </si>
  <si>
    <t xml:space="preserve">Assumptions </t>
  </si>
  <si>
    <t>Capital Expenditures(CAPEX)</t>
  </si>
  <si>
    <t xml:space="preserve"> Tax rate assumed in the model:</t>
  </si>
  <si>
    <t>Terminal Year</t>
  </si>
  <si>
    <t>Interest Rates and Debt Covenants</t>
  </si>
  <si>
    <t>Interest rate on the Bank indebtedness:</t>
  </si>
  <si>
    <t>Interest rate earned on cash balances:</t>
  </si>
  <si>
    <t>Interest rate on non-current Debt:</t>
  </si>
  <si>
    <t>Series A Notes</t>
  </si>
  <si>
    <t>Series B Notes</t>
  </si>
  <si>
    <t>Stock Price - October 3,2014:</t>
  </si>
  <si>
    <t>Average Stock Price - 2013</t>
  </si>
  <si>
    <t>Common Dividend per share - 2013:</t>
  </si>
  <si>
    <t>ROE</t>
  </si>
  <si>
    <t>ROA per Dupont</t>
  </si>
  <si>
    <t>2013A</t>
  </si>
  <si>
    <t>2012A</t>
  </si>
  <si>
    <t>2011A</t>
  </si>
  <si>
    <t>DuPont Analysis</t>
    <phoneticPr fontId="10" type="noConversion"/>
  </si>
  <si>
    <t>HPR</t>
  </si>
  <si>
    <t>Dividends declared</t>
    <phoneticPr fontId="1" type="noConversion"/>
  </si>
  <si>
    <t>EPS diluted</t>
  </si>
  <si>
    <t>EPS Basic</t>
  </si>
  <si>
    <t>Close share price</t>
  </si>
  <si>
    <t>Assets/Equity</t>
  </si>
  <si>
    <t>Sales/assets</t>
  </si>
  <si>
    <t>Assets</t>
  </si>
  <si>
    <t>Net profit margin</t>
    <phoneticPr fontId="1" type="noConversion"/>
  </si>
  <si>
    <t>Operating margin</t>
  </si>
  <si>
    <t>Net income</t>
  </si>
  <si>
    <t>Operating income</t>
    <phoneticPr fontId="1" type="noConversion"/>
  </si>
  <si>
    <t>DuPont Analysis</t>
  </si>
  <si>
    <t>Earnings yield</t>
  </si>
  <si>
    <t>Price to sales</t>
  </si>
  <si>
    <t>Price to book</t>
  </si>
  <si>
    <t>Price-earnings</t>
  </si>
  <si>
    <t>Market</t>
  </si>
  <si>
    <t>Payout ratio</t>
  </si>
  <si>
    <t>Dividend yield</t>
  </si>
  <si>
    <t xml:space="preserve">WA diluted </t>
    <phoneticPr fontId="10" type="noConversion"/>
  </si>
  <si>
    <t xml:space="preserve">Dividends paid Q4 </t>
    <phoneticPr fontId="10" type="noConversion"/>
  </si>
  <si>
    <t xml:space="preserve">Q4 dividend*4 </t>
    <phoneticPr fontId="10" type="noConversion"/>
  </si>
  <si>
    <t>Dividends</t>
  </si>
  <si>
    <t>FCFF coverage</t>
  </si>
  <si>
    <t xml:space="preserve">Interest coverage (CF basis) </t>
  </si>
  <si>
    <t xml:space="preserve">Interest coverage (earnings basis) </t>
  </si>
  <si>
    <t>EBITDA/Interest</t>
  </si>
  <si>
    <t>Times int earned</t>
  </si>
  <si>
    <t xml:space="preserve">Debt to capital </t>
  </si>
  <si>
    <t xml:space="preserve">Net Debt-to-equity </t>
  </si>
  <si>
    <t>Debt to asset</t>
    <phoneticPr fontId="1" type="noConversion"/>
  </si>
  <si>
    <t xml:space="preserve">Debt to equity </t>
  </si>
  <si>
    <t>Liabilities to equity</t>
  </si>
  <si>
    <t>Solvency</t>
  </si>
  <si>
    <t xml:space="preserve">Cash Conversion </t>
  </si>
  <si>
    <t xml:space="preserve">Days Payables </t>
  </si>
  <si>
    <t>Days inventory</t>
  </si>
  <si>
    <t>Days Receivables (Collection period)</t>
  </si>
  <si>
    <t>Defensive Interval</t>
    <phoneticPr fontId="1" type="noConversion"/>
  </si>
  <si>
    <t xml:space="preserve">OCF Ratio </t>
  </si>
  <si>
    <t xml:space="preserve">Cash Ratio </t>
  </si>
  <si>
    <t>Quick Ratio (Acid Test)</t>
  </si>
  <si>
    <t>Current</t>
  </si>
  <si>
    <t>Liquidity</t>
  </si>
  <si>
    <t xml:space="preserve">PP&amp;E turnover </t>
  </si>
  <si>
    <t xml:space="preserve">Work Cap turnover </t>
    <phoneticPr fontId="1" type="noConversion"/>
  </si>
  <si>
    <t xml:space="preserve">Payables turnover </t>
    <phoneticPr fontId="1" type="noConversion"/>
  </si>
  <si>
    <t xml:space="preserve">Inventory turnover </t>
    <phoneticPr fontId="1" type="noConversion"/>
  </si>
  <si>
    <t xml:space="preserve">Receivable turnover </t>
    <phoneticPr fontId="1" type="noConversion"/>
  </si>
  <si>
    <t>Asset turnover</t>
  </si>
  <si>
    <t>Asset Management</t>
  </si>
  <si>
    <t>ROA</t>
  </si>
  <si>
    <t>Net profit margin</t>
  </si>
  <si>
    <t xml:space="preserve">NOPAT margin </t>
    <phoneticPr fontId="1" type="noConversion"/>
  </si>
  <si>
    <t>Gross margin (EBITDA)</t>
  </si>
  <si>
    <t>Profitability</t>
  </si>
  <si>
    <t>RATIOS</t>
    <phoneticPr fontId="1" type="noConversion"/>
  </si>
  <si>
    <t>*Not the standard definition.  Left out current debt, to make WC turnover sensible.</t>
    <phoneticPr fontId="1" type="noConversion"/>
  </si>
  <si>
    <t>CPI</t>
    <phoneticPr fontId="1" type="noConversion"/>
  </si>
  <si>
    <t xml:space="preserve">Approximate tax rate </t>
    <phoneticPr fontId="1" type="noConversion"/>
  </si>
  <si>
    <t>Marginal tax rate</t>
    <phoneticPr fontId="10" type="noConversion"/>
  </si>
  <si>
    <t>Operating WC</t>
    <phoneticPr fontId="1" type="noConversion"/>
  </si>
  <si>
    <t>WC*</t>
  </si>
  <si>
    <t xml:space="preserve">WA Diluted </t>
  </si>
  <si>
    <t xml:space="preserve">WA Basic </t>
  </si>
  <si>
    <t>Share price at year end</t>
    <phoneticPr fontId="1" type="noConversion"/>
  </si>
  <si>
    <t>Net operating profit after tax</t>
  </si>
  <si>
    <t>EBITDA</t>
  </si>
  <si>
    <t>FCF to firm</t>
  </si>
  <si>
    <t>FCF to equity</t>
  </si>
  <si>
    <t xml:space="preserve">Additional Information </t>
  </si>
  <si>
    <t xml:space="preserve">   Cash and cash Equivalents- Ending of year</t>
  </si>
  <si>
    <t xml:space="preserve">   Cash and cash Equivalents- Beginning of year</t>
  </si>
  <si>
    <t>Net change in cash and cash equivalents</t>
  </si>
  <si>
    <t xml:space="preserve">   Cash from financing activities </t>
  </si>
  <si>
    <t>Net change in other liabilitities</t>
  </si>
  <si>
    <t>Use of non-current provisions</t>
  </si>
  <si>
    <t>Repayment of debt</t>
  </si>
  <si>
    <t>Increase in debt</t>
  </si>
  <si>
    <t>Performance share units cash settlement</t>
  </si>
  <si>
    <t>Acquisition of treasury shares</t>
  </si>
  <si>
    <t>Shares redeemed</t>
  </si>
  <si>
    <t>Shares issued</t>
  </si>
  <si>
    <t>Net chage in bank loans</t>
  </si>
  <si>
    <t xml:space="preserve">Financing Activities: </t>
  </si>
  <si>
    <t xml:space="preserve">   Cash from investing activities </t>
  </si>
  <si>
    <t>Additions to intangible assets and goodwill</t>
  </si>
  <si>
    <t>Proceeds on disposal of investment properties</t>
  </si>
  <si>
    <t>Proceeds on disposal of fixed assets</t>
  </si>
  <si>
    <t>Additions to fixed assets</t>
  </si>
  <si>
    <t>Dividends from an associate</t>
  </si>
  <si>
    <t>Net change in other financial assets</t>
  </si>
  <si>
    <t>Proceeds on disposal of a portion of the investment in an associate</t>
  </si>
  <si>
    <t>Proceeds on disposal of assets held for sale</t>
  </si>
  <si>
    <t>Proceeds on disposal of an operation</t>
  </si>
  <si>
    <t>Business acquisitions, net of cash acquired totalling $3.0</t>
  </si>
  <si>
    <t xml:space="preserve">Investing Activities: </t>
  </si>
  <si>
    <t xml:space="preserve">   Cash from operating activities </t>
  </si>
  <si>
    <t>Income taxes paid</t>
  </si>
  <si>
    <t>Interest paid</t>
  </si>
  <si>
    <t>Net change in non-cash working capital items</t>
  </si>
  <si>
    <t>Financial costs, net</t>
  </si>
  <si>
    <t xml:space="preserve">   Difference between amounts paid for employee benefits and current period cost</t>
  </si>
  <si>
    <t xml:space="preserve">   Share-based compensation cost</t>
  </si>
  <si>
    <t xml:space="preserve">  Impairment loss reversals on fixed and intangible assets</t>
  </si>
  <si>
    <t xml:space="preserve">   Impairment losses on fixed and intangible assets</t>
  </si>
  <si>
    <t xml:space="preserve">   Gain on disposal of an operation</t>
  </si>
  <si>
    <t xml:space="preserve">   Gain on disposal of a portion of the investment in an associate</t>
  </si>
  <si>
    <t xml:space="preserve">   Loss(gain) on disposal and write-offs of fixed and intangible  assets and investment properties</t>
  </si>
  <si>
    <t xml:space="preserve">   Amortization of defereed financing costs</t>
  </si>
  <si>
    <t xml:space="preserve">   Depreciation and Amortization</t>
  </si>
  <si>
    <t xml:space="preserve">   Closure expense </t>
  </si>
  <si>
    <t xml:space="preserve">   Restructuring charges</t>
  </si>
  <si>
    <t xml:space="preserve">   Dilution gain from an associate</t>
  </si>
  <si>
    <t xml:space="preserve">   Share of an associate's earnings</t>
  </si>
  <si>
    <t>Non-cash items:</t>
  </si>
  <si>
    <t>Earning (loss) before income taxes from discontinued operation</t>
  </si>
  <si>
    <t>Earning before income taxes from continuing operations</t>
  </si>
  <si>
    <t xml:space="preserve">Operating Activities: </t>
  </si>
  <si>
    <t>Total equity</t>
  </si>
  <si>
    <t>Non-controlling interests</t>
  </si>
  <si>
    <t>Equity attributable to equity holders of the parent</t>
  </si>
  <si>
    <t>Accumulated other comprehensive income</t>
  </si>
  <si>
    <t>Retained Earnings</t>
  </si>
  <si>
    <t>Contributed surplus</t>
  </si>
  <si>
    <t>Treasury Shares</t>
  </si>
  <si>
    <t>Capital Stock</t>
  </si>
  <si>
    <t xml:space="preserve"> Equity</t>
  </si>
  <si>
    <t>Total liabilities</t>
  </si>
  <si>
    <t>non-controlling interest</t>
  </si>
  <si>
    <t>other liabilities</t>
  </si>
  <si>
    <t>defirred taxes</t>
  </si>
  <si>
    <t>provisions</t>
  </si>
  <si>
    <t>defined benefit liabilities</t>
  </si>
  <si>
    <t>Debt</t>
  </si>
  <si>
    <t>non-current liabilities</t>
  </si>
  <si>
    <t xml:space="preserve">      Total current liability</t>
  </si>
  <si>
    <t>Current Portion of  Debt</t>
  </si>
  <si>
    <t xml:space="preserve">Current taxes </t>
  </si>
  <si>
    <t>Accounts payable</t>
  </si>
  <si>
    <t>Bank loans</t>
  </si>
  <si>
    <t>Current Liabilities</t>
  </si>
  <si>
    <t>Liabilities</t>
  </si>
  <si>
    <t>Total Assets</t>
  </si>
  <si>
    <t>Deffered benefit assests</t>
  </si>
  <si>
    <t>Deffered taxes</t>
  </si>
  <si>
    <t xml:space="preserve">Goodwill    </t>
  </si>
  <si>
    <t>Intangible assets</t>
  </si>
  <si>
    <t>Investment properties</t>
  </si>
  <si>
    <t>Fixed assetts</t>
  </si>
  <si>
    <t xml:space="preserve">Other financial assets </t>
  </si>
  <si>
    <t>Investment in an associate</t>
  </si>
  <si>
    <t xml:space="preserve">   Non-current assests</t>
  </si>
  <si>
    <t xml:space="preserve">   Total current asset</t>
  </si>
  <si>
    <t>Assets held for sale</t>
  </si>
  <si>
    <t>current taxes</t>
  </si>
  <si>
    <t>prepaid expense</t>
  </si>
  <si>
    <t>Inventory</t>
  </si>
  <si>
    <t>Cash and cash equivalents</t>
  </si>
  <si>
    <t xml:space="preserve">Current Assets </t>
  </si>
  <si>
    <t>Consolidated Balance Sheet ($MMs)</t>
  </si>
  <si>
    <t>Dividend</t>
  </si>
  <si>
    <t>Fully diluted</t>
  </si>
  <si>
    <t>Basic</t>
  </si>
  <si>
    <t>Continuing operations</t>
  </si>
  <si>
    <t>Contining operation and discontinued operation</t>
  </si>
  <si>
    <t>Earnings (loss) Per share</t>
  </si>
  <si>
    <t xml:space="preserve">   Net earnings</t>
  </si>
  <si>
    <t>Net earnings(loss) from discontinued operation</t>
  </si>
  <si>
    <t>Discontinued operations</t>
  </si>
  <si>
    <t>Net earnings from continuing operations</t>
  </si>
  <si>
    <t>Income taxes</t>
  </si>
  <si>
    <t xml:space="preserve">   EBIT</t>
  </si>
  <si>
    <t xml:space="preserve">   Dilution gain from associate</t>
  </si>
  <si>
    <t xml:space="preserve">   Share of an associate's earings</t>
  </si>
  <si>
    <t xml:space="preserve">   Net interest expense</t>
  </si>
  <si>
    <t>Income from operating activities</t>
  </si>
  <si>
    <t>Depericiation and Amortization</t>
  </si>
  <si>
    <t>Restructuring charges&amp; Closure expense</t>
  </si>
  <si>
    <t>other operating expense</t>
  </si>
  <si>
    <t xml:space="preserve">COGS </t>
  </si>
  <si>
    <t>Operating expense</t>
  </si>
  <si>
    <t>Consolidated Income Statement ($MMs)</t>
  </si>
  <si>
    <t xml:space="preserve">Historical Statements </t>
    <phoneticPr fontId="10" type="noConversion"/>
  </si>
  <si>
    <t>Metro.Inc</t>
  </si>
  <si>
    <t>Metro. Inc</t>
  </si>
  <si>
    <t xml:space="preserve"> </t>
  </si>
  <si>
    <t>Due Date: March 6, 2014</t>
  </si>
  <si>
    <t>Financial Information ($MMs)</t>
  </si>
  <si>
    <t>Consolidated Cash Flow Statement ($MMs)</t>
  </si>
  <si>
    <t>Indicated Dividends</t>
  </si>
  <si>
    <t>Scenarios Analysis</t>
  </si>
  <si>
    <t xml:space="preserve">Base Case </t>
    <phoneticPr fontId="0" type="noConversion"/>
  </si>
  <si>
    <t xml:space="preserve">Best Case </t>
    <phoneticPr fontId="0" type="noConversion"/>
  </si>
  <si>
    <t xml:space="preserve">Worst Case </t>
    <phoneticPr fontId="0" type="noConversion"/>
  </si>
  <si>
    <t>CAPEX SCENARIOS</t>
    <phoneticPr fontId="0" type="noConversion"/>
  </si>
  <si>
    <t>Revenue Scenarios</t>
  </si>
  <si>
    <t>Estimated</t>
  </si>
  <si>
    <t>Scenarios Switch:</t>
  </si>
  <si>
    <t>(% growth per store)</t>
  </si>
  <si>
    <t>2014E</t>
  </si>
  <si>
    <t>Total Stores</t>
  </si>
  <si>
    <t xml:space="preserve">COST SCENARIOS </t>
    <phoneticPr fontId="21" type="noConversion"/>
  </si>
  <si>
    <t>COGS (% of sales)</t>
    <phoneticPr fontId="21" type="noConversion"/>
  </si>
  <si>
    <t xml:space="preserve">Base Case </t>
    <phoneticPr fontId="21" type="noConversion"/>
  </si>
  <si>
    <t xml:space="preserve">Best Case </t>
    <phoneticPr fontId="21" type="noConversion"/>
  </si>
  <si>
    <t xml:space="preserve">Worst Case </t>
    <phoneticPr fontId="21" type="noConversion"/>
  </si>
  <si>
    <t>Costs Scenario Switch:</t>
  </si>
  <si>
    <t>Term</t>
  </si>
  <si>
    <t xml:space="preserve">Projected </t>
  </si>
  <si>
    <t>Base case</t>
  </si>
  <si>
    <t>COGS and operating expenses are forecasted as a percentage of total sales</t>
  </si>
  <si>
    <t>Projected</t>
  </si>
  <si>
    <t>(C$ Millions)</t>
  </si>
  <si>
    <t>Cash</t>
  </si>
  <si>
    <t>Change in Working Capital</t>
  </si>
  <si>
    <t>Net Working Capital</t>
  </si>
  <si>
    <t>Account Balances</t>
  </si>
  <si>
    <t>(days)</t>
  </si>
  <si>
    <t>Days In</t>
  </si>
  <si>
    <t>Cost of Sales</t>
  </si>
  <si>
    <t>Net Revenue</t>
  </si>
  <si>
    <t>Income Statement Items</t>
  </si>
  <si>
    <t>Days per Year</t>
  </si>
  <si>
    <t>Depreciation to Existing Assets</t>
  </si>
  <si>
    <t>Depreciation Years on New Assets:</t>
  </si>
  <si>
    <t>Years Remaining on Existing Assets:</t>
  </si>
  <si>
    <t xml:space="preserve">Existing Assets </t>
  </si>
  <si>
    <t>Depreciation Schedule</t>
  </si>
  <si>
    <t>Total equity+ liability</t>
  </si>
  <si>
    <t>2018E</t>
  </si>
  <si>
    <t>2017E</t>
  </si>
  <si>
    <t>2016E</t>
  </si>
  <si>
    <t>2015E</t>
  </si>
  <si>
    <t>Balance Sheet</t>
  </si>
  <si>
    <t>TERM</t>
  </si>
  <si>
    <t>EBIT Margin</t>
  </si>
  <si>
    <t>EBITDA Margin</t>
  </si>
  <si>
    <t>Margins</t>
  </si>
  <si>
    <t>(C$ / share)</t>
  </si>
  <si>
    <t xml:space="preserve"> % growth</t>
  </si>
  <si>
    <t>supermarket, discount stores</t>
  </si>
  <si>
    <t>(storess)</t>
  </si>
  <si>
    <t>Total number of  stores</t>
  </si>
  <si>
    <t>2010A</t>
  </si>
  <si>
    <t>2009A</t>
  </si>
  <si>
    <t>2008A</t>
  </si>
  <si>
    <t>Sales are forecasted on total sales of stores:</t>
  </si>
  <si>
    <t>Total L + SE</t>
  </si>
  <si>
    <t xml:space="preserve">  Total Equity</t>
  </si>
  <si>
    <t>-</t>
    <phoneticPr fontId="10" type="noConversion"/>
  </si>
  <si>
    <t>Share Equity</t>
  </si>
  <si>
    <t>Non-current liabilities</t>
    <phoneticPr fontId="10" type="noConversion"/>
  </si>
  <si>
    <t>Total current liability</t>
    <phoneticPr fontId="10" type="noConversion"/>
  </si>
  <si>
    <t>Total current asset</t>
    <phoneticPr fontId="10" type="noConversion"/>
  </si>
  <si>
    <t>Asset held for sale</t>
    <phoneticPr fontId="10" type="noConversion"/>
  </si>
  <si>
    <t>Prepaid</t>
  </si>
  <si>
    <t>Current tax</t>
    <phoneticPr fontId="10" type="noConversion"/>
  </si>
  <si>
    <t>Receivable</t>
  </si>
  <si>
    <t>(% of total assets)</t>
    <phoneticPr fontId="10" type="noConversion"/>
  </si>
  <si>
    <t xml:space="preserve">Consolidated Balance Sheet </t>
  </si>
  <si>
    <t>EPS Diluted</t>
  </si>
  <si>
    <t xml:space="preserve">Income tax </t>
    <phoneticPr fontId="10" type="noConversion"/>
  </si>
  <si>
    <t>Earnings before interest and tax (EBIT)</t>
    <phoneticPr fontId="10" type="noConversion"/>
  </si>
  <si>
    <t xml:space="preserve">   Share of an associate's earings</t>
    <phoneticPr fontId="10" type="noConversion"/>
  </si>
  <si>
    <t>Interest expense</t>
  </si>
  <si>
    <t>Operating Income</t>
  </si>
  <si>
    <t>Depericiation and Amortization</t>
    <phoneticPr fontId="10" type="noConversion"/>
  </si>
  <si>
    <t>Restructuring charges&amp; Closure expense</t>
    <phoneticPr fontId="10" type="noConversion"/>
  </si>
  <si>
    <t>Other operating expense</t>
    <phoneticPr fontId="10" type="noConversion"/>
  </si>
  <si>
    <t>Operating  Expenses:</t>
  </si>
  <si>
    <t>Sales (Total)</t>
    <phoneticPr fontId="10" type="noConversion"/>
  </si>
  <si>
    <t>(% of total income)</t>
    <phoneticPr fontId="10" type="noConversion"/>
  </si>
  <si>
    <t xml:space="preserve">Consolidated Income Statement </t>
  </si>
  <si>
    <t>12/13A</t>
    <phoneticPr fontId="1" type="noConversion"/>
  </si>
  <si>
    <t>11/12A</t>
    <phoneticPr fontId="1" type="noConversion"/>
  </si>
  <si>
    <t>Historical Average (YoY %)</t>
  </si>
  <si>
    <t>Historical Average (% of Revenue)</t>
  </si>
  <si>
    <t>Common  Size (%)</t>
    <phoneticPr fontId="1" type="noConversion"/>
  </si>
  <si>
    <t>Metro Inc.</t>
    <phoneticPr fontId="10" type="noConversion"/>
  </si>
  <si>
    <t xml:space="preserve">Revenue Schedule </t>
  </si>
  <si>
    <t>YoY % growth</t>
  </si>
  <si>
    <t xml:space="preserve">Sales per Store </t>
  </si>
  <si>
    <t xml:space="preserve">Sales </t>
  </si>
  <si>
    <t>Total Revenue</t>
  </si>
  <si>
    <t xml:space="preserve">Cost Schedule </t>
  </si>
  <si>
    <t xml:space="preserve">% of Sales </t>
  </si>
  <si>
    <t>Administrative expenses</t>
  </si>
  <si>
    <t xml:space="preserve">Income Statement </t>
  </si>
  <si>
    <t>Return on Equity</t>
  </si>
  <si>
    <t xml:space="preserve">Cash Flow Statement </t>
  </si>
  <si>
    <t xml:space="preserve">Working Capital Schedule </t>
  </si>
  <si>
    <t>0perating expense</t>
  </si>
  <si>
    <t>Restructuring changes &amp; closure expense</t>
  </si>
  <si>
    <t xml:space="preserve">   Net incomes</t>
  </si>
  <si>
    <t>Net incomes(loss) from discontinued operation</t>
  </si>
  <si>
    <t>Net incomes from continuing operations</t>
  </si>
  <si>
    <t>Fixed assets</t>
  </si>
  <si>
    <t xml:space="preserve">Store Network </t>
    <phoneticPr fontId="52" type="noConversion"/>
  </si>
  <si>
    <t>2014A</t>
    <phoneticPr fontId="52" type="noConversion"/>
  </si>
  <si>
    <t>2014QA</t>
    <phoneticPr fontId="52" type="noConversion"/>
  </si>
  <si>
    <t>(C$ MM)</t>
    <phoneticPr fontId="52" type="noConversion"/>
  </si>
  <si>
    <t>Metro Inc.</t>
    <phoneticPr fontId="52" type="noConversion"/>
  </si>
  <si>
    <t>2012A</t>
    <phoneticPr fontId="52" type="noConversion"/>
  </si>
  <si>
    <t>2013A</t>
    <phoneticPr fontId="52" type="noConversion"/>
  </si>
  <si>
    <t>2014E</t>
    <phoneticPr fontId="52" type="noConversion"/>
  </si>
  <si>
    <t>2015E</t>
    <phoneticPr fontId="52" type="noConversion"/>
  </si>
  <si>
    <t>2016E</t>
    <phoneticPr fontId="52" type="noConversion"/>
  </si>
  <si>
    <t>2017E</t>
    <phoneticPr fontId="52" type="noConversion"/>
  </si>
  <si>
    <t>2011A</t>
    <phoneticPr fontId="52" type="noConversion"/>
  </si>
  <si>
    <t>Term</t>
    <phoneticPr fontId="52" type="noConversion"/>
  </si>
  <si>
    <t>Additional stores</t>
    <phoneticPr fontId="52" type="noConversion"/>
  </si>
  <si>
    <t>Base Case</t>
    <phoneticPr fontId="52" type="noConversion"/>
  </si>
  <si>
    <t>Best Case</t>
    <phoneticPr fontId="52" type="noConversion"/>
  </si>
  <si>
    <t>Worst Case</t>
    <phoneticPr fontId="52" type="noConversion"/>
  </si>
  <si>
    <t>2014 - 2018</t>
    <phoneticPr fontId="52" type="noConversion"/>
  </si>
  <si>
    <t>2016 - 2018</t>
    <phoneticPr fontId="52" type="noConversion"/>
  </si>
  <si>
    <t xml:space="preserve">Net CAPEX </t>
    <phoneticPr fontId="52" type="noConversion"/>
  </si>
  <si>
    <t>Capital Expenditure</t>
    <phoneticPr fontId="52" type="noConversion"/>
  </si>
  <si>
    <t>total stores</t>
    <phoneticPr fontId="52" type="noConversion"/>
  </si>
  <si>
    <t>inflation adjusted</t>
    <phoneticPr fontId="52" type="noConversion"/>
  </si>
  <si>
    <t>2014E</t>
    <phoneticPr fontId="52" type="noConversion"/>
  </si>
  <si>
    <t>2018E</t>
    <phoneticPr fontId="52" type="noConversion"/>
  </si>
  <si>
    <t>other operation expense</t>
    <phoneticPr fontId="52" type="noConversion"/>
  </si>
  <si>
    <t xml:space="preserve">                  Terminal</t>
    <phoneticPr fontId="52" type="noConversion"/>
  </si>
  <si>
    <r>
      <t>r</t>
    </r>
    <r>
      <rPr>
        <sz val="10"/>
        <color indexed="12"/>
        <rFont val="Times New Roman"/>
        <family val="1"/>
      </rPr>
      <t>evenue</t>
    </r>
    <phoneticPr fontId="52" type="noConversion"/>
  </si>
  <si>
    <t>inventory</t>
    <phoneticPr fontId="52" type="noConversion"/>
  </si>
  <si>
    <t>payable</t>
    <phoneticPr fontId="52" type="noConversion"/>
  </si>
  <si>
    <t>Capital Structure</t>
  </si>
  <si>
    <t>(000,000's Unless Otherwise Noted)</t>
  </si>
  <si>
    <t xml:space="preserve">Cash </t>
    <phoneticPr fontId="60" type="noConversion"/>
  </si>
  <si>
    <t>Long-Term Debt</t>
  </si>
  <si>
    <t>Bank Debt</t>
    <phoneticPr fontId="60" type="noConversion"/>
  </si>
  <si>
    <t>Current portion of LT debt</t>
    <phoneticPr fontId="60" type="noConversion"/>
  </si>
  <si>
    <t>Total Debt</t>
  </si>
  <si>
    <t>Shareholders Equity</t>
    <phoneticPr fontId="60" type="noConversion"/>
  </si>
  <si>
    <t>Total Capital (Book Value)</t>
  </si>
  <si>
    <t>Debt/Capital (Book Value)</t>
    <phoneticPr fontId="60" type="noConversion"/>
  </si>
  <si>
    <t>Number of Outstanding Shares</t>
  </si>
  <si>
    <t>Share Price**</t>
    <phoneticPr fontId="60" type="noConversion"/>
  </si>
  <si>
    <t>Total Capital (Market Value)</t>
  </si>
  <si>
    <t>Debt/Capital (Market Value)</t>
    <phoneticPr fontId="60" type="noConversion"/>
  </si>
  <si>
    <t>Equity/Capital (Market Value)</t>
  </si>
  <si>
    <t>total equity(market value)</t>
    <phoneticPr fontId="52" type="noConversion"/>
  </si>
  <si>
    <t xml:space="preserve">*Actual, as reported in 2014 Q1 report </t>
    <phoneticPr fontId="52" type="noConversion"/>
  </si>
  <si>
    <t>**Share purchase price on March 5, 2014</t>
    <phoneticPr fontId="52" type="noConversion"/>
  </si>
  <si>
    <t>Cost of Long Term Debt</t>
  </si>
  <si>
    <t>%</t>
  </si>
  <si>
    <t>Rate</t>
  </si>
  <si>
    <t>2011 Effective Tax Rate</t>
  </si>
  <si>
    <t>After-Tax Cost of Long-Term Debt (Effective Rate)</t>
  </si>
  <si>
    <t>$face value</t>
    <phoneticPr fontId="60" type="noConversion"/>
  </si>
  <si>
    <t>$</t>
    <phoneticPr fontId="60" type="noConversion"/>
  </si>
  <si>
    <t>Bank Debt**</t>
    <phoneticPr fontId="60" type="noConversion"/>
  </si>
  <si>
    <t xml:space="preserve">Total Debt </t>
    <phoneticPr fontId="60" type="noConversion"/>
  </si>
  <si>
    <t>**Calculated from 2014 quarterly report (annual interest/average balance 2010 -2011)</t>
    <phoneticPr fontId="52" type="noConversion"/>
  </si>
  <si>
    <t>revolving credit facility(Nov 2018)</t>
    <phoneticPr fontId="60" type="noConversion"/>
  </si>
  <si>
    <t>current portion of LT debt</t>
    <phoneticPr fontId="52" type="noConversion"/>
  </si>
  <si>
    <t>(due in this year</t>
    <phoneticPr fontId="52" type="noConversion"/>
  </si>
  <si>
    <t>obligation under finance lease</t>
    <phoneticPr fontId="52" type="noConversion"/>
  </si>
  <si>
    <t>total long term</t>
    <phoneticPr fontId="52" type="noConversion"/>
  </si>
  <si>
    <t>deferred financing cost</t>
    <phoneticPr fontId="52" type="noConversion"/>
  </si>
  <si>
    <t>Series A Notes (Oct 2015)</t>
    <phoneticPr fontId="60" type="noConversion"/>
  </si>
  <si>
    <t>Series B Notes (Oct 2035)</t>
    <phoneticPr fontId="60" type="noConversion"/>
  </si>
  <si>
    <t>Bond Yield Plus Risk Premium</t>
  </si>
  <si>
    <t>% Interest Rate</t>
    <phoneticPr fontId="60" type="noConversion"/>
  </si>
  <si>
    <t>Bond Yield</t>
  </si>
  <si>
    <t>Equity Risk Premium 4</t>
  </si>
  <si>
    <t>Cost of Equity (Bond Yield Plus Risk Premium)</t>
  </si>
  <si>
    <t>Weighted Average Cost of Capital</t>
  </si>
  <si>
    <t>Cost of Equity</t>
  </si>
  <si>
    <t>Weight of Equity</t>
  </si>
  <si>
    <t>Cost of Debt</t>
  </si>
  <si>
    <t>Weight of Debt</t>
  </si>
  <si>
    <t>Capex is estimated to be 0.25 from 2014 to 2017</t>
    <phoneticPr fontId="52" type="noConversion"/>
  </si>
  <si>
    <t>Capex is estimated to be 0.20 from 2018</t>
    <phoneticPr fontId="52" type="noConversion"/>
  </si>
  <si>
    <t>明天记得改这里</t>
    <phoneticPr fontId="52" type="noConversion"/>
  </si>
  <si>
    <t>other operation expense</t>
    <phoneticPr fontId="52" type="noConversion"/>
  </si>
  <si>
    <t>c$mm/store</t>
    <phoneticPr fontId="52" type="noConversion"/>
  </si>
  <si>
    <t>Food Inflation:</t>
    <phoneticPr fontId="52" type="noConversion"/>
  </si>
  <si>
    <t xml:space="preserve">Three scenarios have been used for sales growth,total COGS, and Capital Expenditures. </t>
    <phoneticPr fontId="52" type="noConversion"/>
  </si>
  <si>
    <t>Additions to drug stores</t>
    <phoneticPr fontId="52" type="noConversion"/>
  </si>
  <si>
    <t>Base Case</t>
    <phoneticPr fontId="52" type="noConversion"/>
  </si>
  <si>
    <t>Best Case</t>
    <phoneticPr fontId="52" type="noConversion"/>
  </si>
  <si>
    <t>Worst Case</t>
    <phoneticPr fontId="52" type="noConversion"/>
  </si>
  <si>
    <t>2014-2018</t>
    <phoneticPr fontId="52" type="noConversion"/>
  </si>
  <si>
    <t>Term</t>
    <phoneticPr fontId="52" type="noConversion"/>
  </si>
  <si>
    <t>2014-2018</t>
    <phoneticPr fontId="52" type="noConversion"/>
  </si>
  <si>
    <t>drug store sales</t>
    <phoneticPr fontId="52" type="noConversion"/>
  </si>
  <si>
    <t xml:space="preserve">         Normal Inflation:                                                                                                1.2%           </t>
    <phoneticPr fontId="52" type="noConversion"/>
  </si>
  <si>
    <t>growth rate per grocery store</t>
    <phoneticPr fontId="52" type="noConversion"/>
  </si>
  <si>
    <t>Term</t>
    <phoneticPr fontId="52" type="noConversion"/>
  </si>
  <si>
    <t>growth rate per drug store</t>
    <phoneticPr fontId="52" type="noConversion"/>
  </si>
  <si>
    <t>Drug store sales</t>
    <phoneticPr fontId="52" type="noConversion"/>
  </si>
  <si>
    <t>Grocery store sales</t>
    <phoneticPr fontId="52" type="noConversion"/>
  </si>
  <si>
    <t>Grocery sale</t>
  </si>
  <si>
    <t>% grocery sale</t>
  </si>
  <si>
    <t>Average % grocery sale</t>
  </si>
  <si>
    <t>Average Grocery sale growth rate</t>
  </si>
  <si>
    <t>growth rate(drug store)</t>
  </si>
  <si>
    <t>Growth rate(Grocery)</t>
  </si>
  <si>
    <t>Average Drug sale growth rate</t>
  </si>
  <si>
    <t>addition (Grocery store)</t>
  </si>
  <si>
    <t>Number of stores additions(Grocery)</t>
  </si>
  <si>
    <t>Number of stores additions(Drug)</t>
  </si>
  <si>
    <t>Drug store</t>
  </si>
  <si>
    <t>Drug</t>
  </si>
  <si>
    <t xml:space="preserve">Grocery </t>
  </si>
  <si>
    <t>Drug stores</t>
  </si>
  <si>
    <t xml:space="preserve"> additions (Drug)</t>
  </si>
  <si>
    <t>Financial Ratios &amp; Analysis Assignment</t>
  </si>
  <si>
    <t>Inflation(Food)</t>
  </si>
  <si>
    <t>Date</t>
  </si>
  <si>
    <t>Last Price</t>
  </si>
  <si>
    <t>12/31/13</t>
  </si>
  <si>
    <t>12/31/12</t>
  </si>
  <si>
    <t>12/30/11</t>
  </si>
  <si>
    <t>12/31/10</t>
  </si>
  <si>
    <t>12/31/09</t>
  </si>
  <si>
    <t>12/31/08</t>
  </si>
  <si>
    <t>12/31/07</t>
  </si>
  <si>
    <t>12/29/06</t>
  </si>
  <si>
    <t>12/30/05</t>
  </si>
  <si>
    <t>12/31/04</t>
  </si>
  <si>
    <t>12/31/03</t>
  </si>
  <si>
    <t>12/31/02</t>
  </si>
  <si>
    <t>12/31/01</t>
  </si>
  <si>
    <t>12/29/00</t>
  </si>
  <si>
    <t>12/31/99</t>
  </si>
  <si>
    <t>12/31/98</t>
  </si>
  <si>
    <t>12/31/97</t>
  </si>
  <si>
    <t>12/31/96</t>
  </si>
  <si>
    <t>12/29/95</t>
  </si>
  <si>
    <t>12/30/94</t>
  </si>
  <si>
    <t>YoY%</t>
  </si>
  <si>
    <t>Ignored due to crisis</t>
  </si>
  <si>
    <t>Average Inflation</t>
  </si>
  <si>
    <t>3 S.D.</t>
  </si>
  <si>
    <t>High end</t>
  </si>
  <si>
    <t>For CAPM</t>
  </si>
  <si>
    <t>Data</t>
  </si>
  <si>
    <t>MRU CN Equity - Last Price</t>
  </si>
  <si>
    <t>MRU CN Equity - Percent</t>
  </si>
  <si>
    <t>SPTSX Index - Last Price</t>
  </si>
  <si>
    <t>SPTSX Index - Percent</t>
  </si>
  <si>
    <t>MRU CN Equity - Fitted</t>
  </si>
  <si>
    <t>MRU CN Equity - Residual</t>
  </si>
  <si>
    <t>02/28/2014</t>
  </si>
  <si>
    <t>02/21/2014</t>
  </si>
  <si>
    <t>02/14/2014</t>
  </si>
  <si>
    <t>02/07/2014</t>
  </si>
  <si>
    <t>01/31/2014</t>
  </si>
  <si>
    <t>01/24/2014</t>
  </si>
  <si>
    <t>01/17/2014</t>
  </si>
  <si>
    <t>01/10/2014</t>
  </si>
  <si>
    <t>01/03/2014</t>
  </si>
  <si>
    <t>12/27/2013</t>
  </si>
  <si>
    <t>12/20/2013</t>
  </si>
  <si>
    <t>12/13/2013</t>
  </si>
  <si>
    <t>12/06/2013</t>
  </si>
  <si>
    <t>11/29/2013</t>
  </si>
  <si>
    <t>11/22/2013</t>
  </si>
  <si>
    <t>11/15/2013</t>
  </si>
  <si>
    <t>11/08/2013</t>
  </si>
  <si>
    <t>11/01/2013</t>
  </si>
  <si>
    <t>10/25/2013</t>
  </si>
  <si>
    <t>10/18/2013</t>
  </si>
  <si>
    <t>10/11/2013</t>
  </si>
  <si>
    <t>10/04/2013</t>
  </si>
  <si>
    <t>09/27/2013</t>
  </si>
  <si>
    <t>09/20/2013</t>
  </si>
  <si>
    <t>09/13/2013</t>
  </si>
  <si>
    <t>09/06/2013</t>
  </si>
  <si>
    <t>08/30/2013</t>
  </si>
  <si>
    <t>08/23/2013</t>
  </si>
  <si>
    <t>08/16/2013</t>
  </si>
  <si>
    <t>08/09/2013</t>
  </si>
  <si>
    <t>08/02/2013</t>
  </si>
  <si>
    <t>07/26/2013</t>
  </si>
  <si>
    <t>07/19/2013</t>
  </si>
  <si>
    <t>07/12/2013</t>
  </si>
  <si>
    <t>07/05/2013</t>
  </si>
  <si>
    <t>06/28/2013</t>
  </si>
  <si>
    <t>06/21/2013</t>
  </si>
  <si>
    <t>06/14/2013</t>
  </si>
  <si>
    <t>06/07/2013</t>
  </si>
  <si>
    <t>05/31/2013</t>
  </si>
  <si>
    <t>05/24/2013</t>
  </si>
  <si>
    <t>05/17/2013</t>
  </si>
  <si>
    <t>05/10/2013</t>
  </si>
  <si>
    <t>05/03/2013</t>
  </si>
  <si>
    <t>04/26/2013</t>
  </si>
  <si>
    <t>04/19/2013</t>
  </si>
  <si>
    <t>04/12/2013</t>
  </si>
  <si>
    <t>04/05/2013</t>
  </si>
  <si>
    <t>03/29/2013</t>
  </si>
  <si>
    <t>03/22/2013</t>
  </si>
  <si>
    <t>03/15/2013</t>
  </si>
  <si>
    <t>03/08/2013</t>
  </si>
  <si>
    <t>03/01/2013</t>
  </si>
  <si>
    <t>02/22/2013</t>
  </si>
  <si>
    <t>02/15/2013</t>
  </si>
  <si>
    <t>02/08/2013</t>
  </si>
  <si>
    <t>02/01/2013</t>
  </si>
  <si>
    <t>01/25/2013</t>
  </si>
  <si>
    <t>01/18/2013</t>
  </si>
  <si>
    <t>01/11/2013</t>
  </si>
  <si>
    <t>01/04/2013</t>
  </si>
  <si>
    <t>12/28/2012</t>
  </si>
  <si>
    <t>12/21/2012</t>
  </si>
  <si>
    <t>12/14/2012</t>
  </si>
  <si>
    <t>12/07/2012</t>
  </si>
  <si>
    <t>11/30/2012</t>
  </si>
  <si>
    <t>11/23/2012</t>
  </si>
  <si>
    <t>11/16/2012</t>
  </si>
  <si>
    <t>11/09/2012</t>
  </si>
  <si>
    <t>11/02/2012</t>
  </si>
  <si>
    <t>10/26/2012</t>
  </si>
  <si>
    <t>10/19/2012</t>
  </si>
  <si>
    <t>10/12/2012</t>
  </si>
  <si>
    <t>10/05/2012</t>
  </si>
  <si>
    <t>09/28/2012</t>
  </si>
  <si>
    <t>09/21/2012</t>
  </si>
  <si>
    <t>09/14/2012</t>
  </si>
  <si>
    <t>09/07/2012</t>
  </si>
  <si>
    <t>08/31/2012</t>
  </si>
  <si>
    <t>08/24/2012</t>
  </si>
  <si>
    <t>08/17/2012</t>
  </si>
  <si>
    <t>08/10/2012</t>
  </si>
  <si>
    <t>08/03/2012</t>
  </si>
  <si>
    <t>07/27/2012</t>
  </si>
  <si>
    <t>07/20/2012</t>
  </si>
  <si>
    <t>07/13/2012</t>
  </si>
  <si>
    <t>07/06/2012</t>
  </si>
  <si>
    <t>06/29/2012</t>
  </si>
  <si>
    <t>06/22/2012</t>
  </si>
  <si>
    <t>06/15/2012</t>
  </si>
  <si>
    <t>06/08/2012</t>
  </si>
  <si>
    <t>06/01/2012</t>
  </si>
  <si>
    <t>05/25/2012</t>
  </si>
  <si>
    <t>05/18/2012</t>
  </si>
  <si>
    <t>05/11/2012</t>
  </si>
  <si>
    <t>05/04/2012</t>
  </si>
  <si>
    <t>04/27/2012</t>
  </si>
  <si>
    <t>04/20/2012</t>
  </si>
  <si>
    <t>04/13/2012</t>
  </si>
  <si>
    <t>04/06/2012</t>
  </si>
  <si>
    <t>03/30/2012</t>
  </si>
  <si>
    <t>03/23/2012</t>
  </si>
  <si>
    <t>03/16/2012</t>
  </si>
  <si>
    <t>03/09/2012</t>
  </si>
  <si>
    <t>#ERROR</t>
  </si>
  <si>
    <t>Linear regression</t>
  </si>
  <si>
    <t>Raw Beta</t>
  </si>
  <si>
    <t>Adjusted Beta</t>
  </si>
  <si>
    <t>R^2</t>
  </si>
  <si>
    <t>R</t>
  </si>
  <si>
    <t>Regression Statistics</t>
  </si>
  <si>
    <t>R Square</t>
  </si>
  <si>
    <t>Adjusted R Square</t>
  </si>
  <si>
    <t>Standard Error</t>
  </si>
  <si>
    <t>Total Number Of Cases</t>
  </si>
  <si>
    <t>-1.5903 = 0.1713 + 0.4024 * 0.03</t>
  </si>
  <si>
    <t>ANOVA</t>
  </si>
  <si>
    <t/>
  </si>
  <si>
    <t>d.f.</t>
  </si>
  <si>
    <t>SS</t>
  </si>
  <si>
    <t>MS</t>
  </si>
  <si>
    <t>F</t>
  </si>
  <si>
    <t>p-level</t>
  </si>
  <si>
    <t>Regression</t>
  </si>
  <si>
    <t>Residual</t>
  </si>
  <si>
    <t>Coefficients</t>
  </si>
  <si>
    <t>LCL</t>
  </si>
  <si>
    <t>UCL</t>
  </si>
  <si>
    <t>t Stat</t>
  </si>
  <si>
    <t>H0 (2%) rejected?</t>
  </si>
  <si>
    <t>Intercept</t>
  </si>
  <si>
    <t>No</t>
  </si>
  <si>
    <t>Yes</t>
  </si>
  <si>
    <t>T (2%)</t>
  </si>
  <si>
    <t>LCL - Lower value of a reliable interval (LCL)</t>
  </si>
  <si>
    <t>UCL - Upper value of a reliable interval (UCL)</t>
  </si>
  <si>
    <t>Beta</t>
  </si>
  <si>
    <t>CAPM</t>
  </si>
  <si>
    <t xml:space="preserve">Risk free Interet rate </t>
  </si>
  <si>
    <t>Expected Market return</t>
  </si>
  <si>
    <t>(RAW)</t>
  </si>
  <si>
    <t>Adjusted</t>
  </si>
  <si>
    <t>*calculation is in Additional Calculation sheet/ by excel</t>
  </si>
  <si>
    <t>The estimated Capex per store represents the average capex spend per store after new store added</t>
    <phoneticPr fontId="52" type="noConversion"/>
  </si>
  <si>
    <t xml:space="preserve">Capex used in the model is Capex for expnasion and maintenance </t>
    <phoneticPr fontId="52" type="noConversion"/>
  </si>
  <si>
    <t>Liabilities</t>
    <phoneticPr fontId="52" type="noConversion"/>
  </si>
  <si>
    <t>Deffered benefit assests</t>
    <phoneticPr fontId="52" type="noConversion"/>
  </si>
  <si>
    <r>
      <t>b</t>
    </r>
    <r>
      <rPr>
        <sz val="11"/>
        <color theme="1"/>
        <rFont val="Calibri"/>
        <charset val="134"/>
        <scheme val="minor"/>
      </rPr>
      <t>usiness acquisition</t>
    </r>
    <phoneticPr fontId="52" type="noConversion"/>
  </si>
  <si>
    <t>Amount Outstanding - Beginning</t>
  </si>
  <si>
    <t>Change in Cash</t>
  </si>
  <si>
    <t>Amount Outstanding - Ending</t>
  </si>
  <si>
    <t>Interest Rate</t>
  </si>
  <si>
    <t>Annual Interest Income</t>
  </si>
  <si>
    <t>Operating Cash Flow</t>
  </si>
  <si>
    <t>Investing Cash Flow</t>
  </si>
  <si>
    <t>Mandatory Debt Repayments</t>
  </si>
  <si>
    <t>Share Buyback</t>
    <phoneticPr fontId="82" type="noConversion"/>
  </si>
  <si>
    <t>FCF After Mandatory Debt Repayment and Dividend</t>
  </si>
  <si>
    <t>Bank indebtedness - Beginning</t>
    <phoneticPr fontId="82" type="noConversion"/>
  </si>
  <si>
    <t>Additions / (Repayments)</t>
  </si>
  <si>
    <t>Bank indebtedness - Ending</t>
    <phoneticPr fontId="82" type="noConversion"/>
  </si>
  <si>
    <t>Annual Interest Expense</t>
  </si>
  <si>
    <t>Commercial Paper - Ending</t>
    <phoneticPr fontId="82" type="noConversion"/>
  </si>
  <si>
    <t>Net Interest Expense</t>
  </si>
  <si>
    <t>Dividend payout % to NI</t>
    <phoneticPr fontId="52" type="noConversion"/>
  </si>
  <si>
    <t>Administrative expense</t>
    <phoneticPr fontId="52" type="noConversion"/>
  </si>
  <si>
    <t>term</t>
    <phoneticPr fontId="52" type="noConversion"/>
  </si>
  <si>
    <t>Debt and Interest Schedule</t>
  </si>
  <si>
    <t xml:space="preserve">Projected </t>
    <phoneticPr fontId="82" type="noConversion"/>
  </si>
  <si>
    <t>Shareholders' Equity Schedule</t>
  </si>
  <si>
    <t>New Issuance / (Buy-Back)</t>
  </si>
  <si>
    <t>Dividend Payout ($)</t>
    <phoneticPr fontId="82" type="noConversion"/>
  </si>
  <si>
    <t>Common Dividend</t>
  </si>
  <si>
    <t>Net Income</t>
  </si>
  <si>
    <t>Fully Diluted Shares O/S (MM) - Beginning</t>
  </si>
  <si>
    <t>Stock Option Grants</t>
  </si>
  <si>
    <t>Fully Diluted Shares O/S (MM) - Ending</t>
  </si>
  <si>
    <t>Average Fully Diluted Shares O/S</t>
  </si>
  <si>
    <t>2014E</t>
    <phoneticPr fontId="52" type="noConversion"/>
  </si>
  <si>
    <t>2015E</t>
    <phoneticPr fontId="52" type="noConversion"/>
  </si>
  <si>
    <t>2016E</t>
    <phoneticPr fontId="52" type="noConversion"/>
  </si>
  <si>
    <t>2017E</t>
    <phoneticPr fontId="52" type="noConversion"/>
  </si>
  <si>
    <t>2018E</t>
    <phoneticPr fontId="52" type="noConversion"/>
  </si>
  <si>
    <t>TERM</t>
    <phoneticPr fontId="52" type="noConversion"/>
  </si>
  <si>
    <t>Weighted Average cost of capital</t>
    <phoneticPr fontId="52" type="noConversion"/>
  </si>
  <si>
    <r>
      <t>W</t>
    </r>
    <r>
      <rPr>
        <sz val="11"/>
        <color theme="1"/>
        <rFont val="Calibri"/>
        <charset val="134"/>
        <scheme val="minor"/>
      </rPr>
      <t>ACC(CAPM)</t>
    </r>
    <phoneticPr fontId="52" type="noConversion"/>
  </si>
  <si>
    <t>WACC (RISK PREMIUM)</t>
    <phoneticPr fontId="52" type="noConversion"/>
  </si>
  <si>
    <t>(CDN$ millions)</t>
  </si>
  <si>
    <t>Common Stock Issuance/(Buy-back)(MM)</t>
    <phoneticPr fontId="60" type="noConversion"/>
  </si>
  <si>
    <t>Stock Option Grants (MM)</t>
  </si>
  <si>
    <t>terminal</t>
    <phoneticPr fontId="52" type="noConversion"/>
  </si>
  <si>
    <t>Series A Notes Issuance (repayment)</t>
    <phoneticPr fontId="60" type="noConversion"/>
  </si>
  <si>
    <t>Series B Notes Issuance (repayment)</t>
    <phoneticPr fontId="60" type="noConversion"/>
  </si>
  <si>
    <t>prefer Stock Issuance / (Buy-back)($)</t>
    <phoneticPr fontId="60" type="noConversion"/>
  </si>
  <si>
    <t>term</t>
    <phoneticPr fontId="52" type="noConversion"/>
  </si>
  <si>
    <t>WA diluted S/O</t>
    <phoneticPr fontId="52" type="noConversion"/>
  </si>
  <si>
    <t>(C$ / share)</t>
    <phoneticPr fontId="52" type="noConversion"/>
  </si>
  <si>
    <t>mm</t>
    <phoneticPr fontId="52" type="noConversion"/>
  </si>
  <si>
    <t>Common shares outstanding (mm)</t>
    <phoneticPr fontId="82" type="noConversion"/>
  </si>
  <si>
    <t xml:space="preserve">share redeem </t>
    <phoneticPr fontId="52" type="noConversion"/>
  </si>
  <si>
    <t>Series A Notes Amount Outstanding - Beginning</t>
    <phoneticPr fontId="82" type="noConversion"/>
  </si>
  <si>
    <t>Series A Notes Additions / (Repayments)</t>
    <phoneticPr fontId="82" type="noConversion"/>
  </si>
  <si>
    <t>Series A Notes Amount Outstanding - Ending</t>
    <phoneticPr fontId="82" type="noConversion"/>
  </si>
  <si>
    <t>Series B Notes Amount Outstanding - Beginning</t>
    <phoneticPr fontId="52" type="noConversion"/>
  </si>
  <si>
    <t>Series B Notes Additions / (Repayments)</t>
    <phoneticPr fontId="52" type="noConversion"/>
  </si>
  <si>
    <t>Series B Notes Amount Outstanding - Ending</t>
    <phoneticPr fontId="52" type="noConversion"/>
  </si>
  <si>
    <t>Loans</t>
  </si>
  <si>
    <t>i</t>
    <phoneticPr fontId="52" type="noConversion"/>
  </si>
  <si>
    <t>i</t>
    <phoneticPr fontId="52" type="noConversion"/>
  </si>
  <si>
    <t>i</t>
    <phoneticPr fontId="52" type="noConversion"/>
  </si>
  <si>
    <t>i</t>
    <phoneticPr fontId="52" type="noConversion"/>
  </si>
  <si>
    <t>Obligations under finance leases beginning</t>
    <phoneticPr fontId="52" type="noConversion"/>
  </si>
  <si>
    <t>Obligations under finance leases payment</t>
    <phoneticPr fontId="52" type="noConversion"/>
  </si>
  <si>
    <t>Obligations under finance leases ending</t>
    <phoneticPr fontId="52" type="noConversion"/>
  </si>
  <si>
    <t>interest rate</t>
    <phoneticPr fontId="52" type="noConversion"/>
  </si>
  <si>
    <t>annual interest expense</t>
    <phoneticPr fontId="52" type="noConversion"/>
  </si>
  <si>
    <t>loans</t>
    <phoneticPr fontId="52" type="noConversion"/>
  </si>
  <si>
    <t>obligation financial lease</t>
    <phoneticPr fontId="52" type="noConversion"/>
  </si>
  <si>
    <r>
      <t>2</t>
    </r>
    <r>
      <rPr>
        <sz val="11"/>
        <color theme="1"/>
        <rFont val="Calibri"/>
        <charset val="134"/>
        <scheme val="minor"/>
      </rPr>
      <t>014E</t>
    </r>
    <phoneticPr fontId="79" type="noConversion"/>
  </si>
  <si>
    <r>
      <t>2</t>
    </r>
    <r>
      <rPr>
        <sz val="11"/>
        <color theme="1"/>
        <rFont val="Calibri"/>
        <charset val="134"/>
        <scheme val="minor"/>
      </rPr>
      <t>015E</t>
    </r>
    <phoneticPr fontId="79" type="noConversion"/>
  </si>
  <si>
    <t>2016E</t>
    <phoneticPr fontId="79" type="noConversion"/>
  </si>
  <si>
    <t>2017E</t>
    <phoneticPr fontId="79" type="noConversion"/>
  </si>
  <si>
    <t>2018E</t>
    <phoneticPr fontId="79" type="noConversion"/>
  </si>
  <si>
    <t>TERMINAL</t>
    <phoneticPr fontId="79" type="noConversion"/>
  </si>
  <si>
    <r>
      <t>O</t>
    </r>
    <r>
      <rPr>
        <sz val="11"/>
        <color theme="1"/>
        <rFont val="Calibri"/>
        <charset val="134"/>
        <scheme val="minor"/>
      </rPr>
      <t>CF</t>
    </r>
    <phoneticPr fontId="79" type="noConversion"/>
  </si>
  <si>
    <r>
      <t>I</t>
    </r>
    <r>
      <rPr>
        <sz val="11"/>
        <color theme="1"/>
        <rFont val="Calibri"/>
        <charset val="134"/>
        <scheme val="minor"/>
      </rPr>
      <t>NT</t>
    </r>
    <phoneticPr fontId="79" type="noConversion"/>
  </si>
  <si>
    <t>capex</t>
    <phoneticPr fontId="79" type="noConversion"/>
  </si>
  <si>
    <t>year</t>
    <phoneticPr fontId="79" type="noConversion"/>
  </si>
  <si>
    <t>fcff</t>
    <phoneticPr fontId="79" type="noConversion"/>
  </si>
  <si>
    <t>price</t>
    <phoneticPr fontId="79" type="noConversion"/>
  </si>
  <si>
    <r>
      <t>w</t>
    </r>
    <r>
      <rPr>
        <sz val="11"/>
        <color theme="1"/>
        <rFont val="Calibri"/>
        <charset val="134"/>
        <scheme val="minor"/>
      </rPr>
      <t>acc</t>
    </r>
    <phoneticPr fontId="79" type="noConversion"/>
  </si>
  <si>
    <t>g</t>
    <phoneticPr fontId="79" type="noConversion"/>
  </si>
  <si>
    <r>
      <t>p</t>
    </r>
    <r>
      <rPr>
        <sz val="11"/>
        <color theme="1"/>
        <rFont val="Calibri"/>
        <charset val="134"/>
        <scheme val="minor"/>
      </rPr>
      <t>v</t>
    </r>
    <phoneticPr fontId="79" type="noConversion"/>
  </si>
  <si>
    <t>pv</t>
    <phoneticPr fontId="79" type="noConversion"/>
  </si>
  <si>
    <r>
      <t>d</t>
    </r>
    <r>
      <rPr>
        <sz val="11"/>
        <color theme="1"/>
        <rFont val="Calibri"/>
        <charset val="134"/>
        <scheme val="minor"/>
      </rPr>
      <t>dm</t>
    </r>
    <phoneticPr fontId="79" type="noConversion"/>
  </si>
  <si>
    <t>Dividend Discount Model</t>
    <phoneticPr fontId="20" type="noConversion"/>
  </si>
  <si>
    <t>COST OF EQUITY</t>
  </si>
  <si>
    <t xml:space="preserve">TERMINAL GROWTH </t>
    <phoneticPr fontId="9" type="noConversion"/>
  </si>
  <si>
    <t>CAPM</t>
    <phoneticPr fontId="9" type="noConversion"/>
  </si>
  <si>
    <t>BYPRP</t>
    <phoneticPr fontId="9" type="noConversion"/>
  </si>
  <si>
    <t xml:space="preserve">Projected </t>
    <phoneticPr fontId="20" type="noConversion"/>
  </si>
  <si>
    <t xml:space="preserve">EPS </t>
    <phoneticPr fontId="9" type="noConversion"/>
  </si>
  <si>
    <t xml:space="preserve">Dividends </t>
    <phoneticPr fontId="9" type="noConversion"/>
  </si>
  <si>
    <t xml:space="preserve">Payout ratio </t>
    <phoneticPr fontId="9" type="noConversion"/>
  </si>
  <si>
    <t>(%)</t>
    <phoneticPr fontId="9" type="noConversion"/>
  </si>
  <si>
    <t xml:space="preserve">Average </t>
    <phoneticPr fontId="9" type="noConversion"/>
  </si>
  <si>
    <t xml:space="preserve">Case 1: </t>
    <phoneticPr fontId="9" type="noConversion"/>
  </si>
  <si>
    <t xml:space="preserve">Assumption: Dividends remain at the current level for the forecasted period  </t>
  </si>
  <si>
    <t>Terminal Value Growth Rate</t>
  </si>
  <si>
    <t>PV of Dividends</t>
    <phoneticPr fontId="9" type="noConversion"/>
  </si>
  <si>
    <t>PV of Terminal Year</t>
  </si>
  <si>
    <t xml:space="preserve">Equity Value </t>
    <phoneticPr fontId="9" type="noConversion"/>
  </si>
  <si>
    <t xml:space="preserve">Case 2: </t>
    <phoneticPr fontId="9" type="noConversion"/>
  </si>
  <si>
    <t>Assumption: Dividends are percentage of EPS (based on average payout ratio)</t>
    <phoneticPr fontId="9" type="noConversion"/>
  </si>
  <si>
    <t>FCFF</t>
  </si>
  <si>
    <t>DDM</t>
  </si>
  <si>
    <t xml:space="preserve">Professor: </t>
  </si>
  <si>
    <t>Prepared By: Chengdao Yang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</si>
</sst>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3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3" formatCode="_(* #,##0.00_);_(* \(#,##0.00\);_(* &quot;-&quot;??_);_(@_)"/>
    <numFmt numFmtId="164" formatCode="_ * #,##0.00_ ;_ * \-#,##0.00_ ;_ * &quot;-&quot;??_ ;_ @_ "/>
    <numFmt numFmtId="165" formatCode="_-&quot;$&quot;* #,##0.00_-;\-&quot;$&quot;* #,##0.00_-;_-&quot;$&quot;* &quot;-&quot;??_-;_-@_-"/>
    <numFmt numFmtId="166" formatCode="_-* #,##0.00_-;\-* #,##0.00_-;_-* &quot;-&quot;??_-;_-@_-"/>
    <numFmt numFmtId="167" formatCode="0.0%"/>
    <numFmt numFmtId="168" formatCode="0.0"/>
    <numFmt numFmtId="169" formatCode="_-* #,##0_-;\-* #,##0_-;_-* &quot;-&quot;??_-;_-@_-"/>
    <numFmt numFmtId="170" formatCode="#,##0.0"/>
    <numFmt numFmtId="171" formatCode="0.0_);\(0.0\)"/>
    <numFmt numFmtId="172" formatCode="0_);\(0\)"/>
    <numFmt numFmtId="173" formatCode="&quot;- Opening UCC pool of &quot;&quot;$&quot;#,###.0&quot; million as of January 1, 1999&quot;"/>
    <numFmt numFmtId="174" formatCode="\&lt;\ 0.0\ \x"/>
    <numFmt numFmtId="175" formatCode="_ * #,##0_ ;_ * \-#,##0_ ;_ * &quot;-&quot;??_ ;_ @_ "/>
    <numFmt numFmtId="176" formatCode="0.0000"/>
    <numFmt numFmtId="177" formatCode="0.00000000"/>
    <numFmt numFmtId="178" formatCode="0.000000"/>
    <numFmt numFmtId="179" formatCode="mmmm\ d\,\ yyyy"/>
    <numFmt numFmtId="180" formatCode="0&quot;E&quot;"/>
    <numFmt numFmtId="181" formatCode="0.00\ &quot;C$mm/store&quot;"/>
    <numFmt numFmtId="182" formatCode="#,##0.0_);\(#,##0.0\)"/>
    <numFmt numFmtId="183" formatCode="&quot;$&quot;#,##0.0_);\(&quot;$&quot;#,##0.0\)"/>
    <numFmt numFmtId="184" formatCode="0.0%\ ;\(0.0%\)"/>
    <numFmt numFmtId="185" formatCode="0\F"/>
    <numFmt numFmtId="186" formatCode="0\A"/>
    <numFmt numFmtId="187" formatCode="#,##0.0000_);\(#,##0.0000\)"/>
    <numFmt numFmtId="188" formatCode="&quot;$&quot;#,##0.000000_);\(&quot;$&quot;#,##0.000000\)"/>
    <numFmt numFmtId="189" formatCode="&quot;E&quot;"/>
    <numFmt numFmtId="190" formatCode="#,##0.00000"/>
    <numFmt numFmtId="191" formatCode="0.00000"/>
    <numFmt numFmtId="192" formatCode="0.00_ "/>
    <numFmt numFmtId="193" formatCode="0.00000000000_);[Red]\(0.00000000000\)"/>
    <numFmt numFmtId="194" formatCode="&quot;$&quot;#,##0.000_);\(&quot;$&quot;#,##0.000\)"/>
    <numFmt numFmtId="195" formatCode="&quot;$&quot;#,##0.0"/>
    <numFmt numFmtId="196" formatCode="&quot;$&quot;#,##0.00"/>
    <numFmt numFmtId="197" formatCode="0.000%"/>
    <numFmt numFmtId="198" formatCode="0.0000%"/>
    <numFmt numFmtId="199" formatCode="#,##0.#####"/>
    <numFmt numFmtId="200" formatCode="&quot;$&quot;#,##0.000"/>
    <numFmt numFmtId="201" formatCode="0.000000%"/>
  </numFmts>
  <fonts count="92">
    <font>
      <sz val="11"/>
      <color theme="1"/>
      <name val="Calibri"/>
      <charset val="134"/>
      <scheme val="minor"/>
    </font>
    <font>
      <sz val="11"/>
      <color indexed="8"/>
      <name val="宋体"/>
      <family val="3"/>
      <charset val="134"/>
    </font>
    <font>
      <sz val="10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color indexed="10"/>
      <name val="Times New Roman"/>
      <family val="1"/>
    </font>
    <font>
      <b/>
      <sz val="14"/>
      <name val="Times New Roman"/>
      <family val="1"/>
    </font>
    <font>
      <i/>
      <sz val="10"/>
      <name val="Times New Roman"/>
      <family val="1"/>
    </font>
    <font>
      <sz val="10"/>
      <color indexed="12"/>
      <name val="Times New Roman"/>
      <family val="1"/>
    </font>
    <font>
      <b/>
      <u/>
      <sz val="10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b/>
      <u/>
      <sz val="9"/>
      <name val="Times New Roman"/>
      <family val="1"/>
    </font>
    <font>
      <b/>
      <sz val="10"/>
      <name val="Arial"/>
      <family val="2"/>
    </font>
    <font>
      <b/>
      <sz val="16"/>
      <name val="Times New Roman"/>
      <family val="1"/>
    </font>
    <font>
      <sz val="16"/>
      <name val="Times New Roman"/>
      <family val="1"/>
    </font>
    <font>
      <b/>
      <sz val="12"/>
      <color indexed="10"/>
      <name val="Times New Roman"/>
      <family val="1"/>
    </font>
    <font>
      <b/>
      <sz val="14"/>
      <color indexed="10"/>
      <name val="Times New Roman"/>
      <family val="1"/>
    </font>
    <font>
      <b/>
      <sz val="10"/>
      <color indexed="8"/>
      <name val="Times New Roman"/>
      <family val="1"/>
    </font>
    <font>
      <i/>
      <sz val="10"/>
      <color indexed="8"/>
      <name val="Times New Roman"/>
      <family val="1"/>
    </font>
    <font>
      <sz val="10"/>
      <color indexed="8"/>
      <name val="Times New Roman"/>
      <family val="1"/>
    </font>
    <font>
      <sz val="10"/>
      <color indexed="10"/>
      <name val="Times New Roman"/>
      <family val="1"/>
    </font>
    <font>
      <sz val="10"/>
      <color indexed="12"/>
      <name val="Times New Roman"/>
      <family val="1"/>
    </font>
    <font>
      <b/>
      <sz val="10"/>
      <color indexed="10"/>
      <name val="Times New Roman"/>
      <family val="1"/>
    </font>
    <font>
      <b/>
      <sz val="12"/>
      <color indexed="10"/>
      <name val="Times New Roman"/>
      <family val="1"/>
    </font>
    <font>
      <b/>
      <i/>
      <sz val="10"/>
      <name val="Times New Roman"/>
      <family val="1"/>
    </font>
    <font>
      <b/>
      <sz val="10"/>
      <color indexed="12"/>
      <name val="Times New Roman"/>
      <family val="1"/>
    </font>
    <font>
      <i/>
      <sz val="10"/>
      <color indexed="12"/>
      <name val="Times New Roman"/>
      <family val="1"/>
    </font>
    <font>
      <b/>
      <sz val="14"/>
      <color indexed="12"/>
      <name val="Times New Roman"/>
      <family val="1"/>
    </font>
    <font>
      <sz val="14"/>
      <name val="Times New Roman"/>
      <family val="1"/>
    </font>
    <font>
      <sz val="20"/>
      <name val="Times New Roman"/>
      <family val="1"/>
    </font>
    <font>
      <b/>
      <sz val="10"/>
      <color indexed="10"/>
      <name val="Times New Roman"/>
      <family val="1"/>
    </font>
    <font>
      <b/>
      <sz val="9"/>
      <name val="Times New Roman"/>
      <family val="1"/>
    </font>
    <font>
      <b/>
      <sz val="10"/>
      <color indexed="12"/>
      <name val="Times New Roman"/>
      <family val="1"/>
    </font>
    <font>
      <b/>
      <u/>
      <sz val="10"/>
      <color indexed="10"/>
      <name val="Times New Roman"/>
      <family val="1"/>
    </font>
    <font>
      <sz val="9"/>
      <name val="Times New Roman"/>
      <family val="1"/>
    </font>
    <font>
      <sz val="10"/>
      <color indexed="61"/>
      <name val="Times New Roman"/>
      <family val="1"/>
    </font>
    <font>
      <sz val="10"/>
      <color indexed="22"/>
      <name val="Times New Roman"/>
      <family val="1"/>
    </font>
    <font>
      <u/>
      <sz val="10"/>
      <color indexed="22"/>
      <name val="Times New Roman"/>
      <family val="1"/>
    </font>
    <font>
      <b/>
      <i/>
      <sz val="10"/>
      <color indexed="8"/>
      <name val="Times New Roman"/>
      <family val="1"/>
    </font>
    <font>
      <sz val="10"/>
      <color indexed="39"/>
      <name val="Times New Roman"/>
      <family val="1"/>
    </font>
    <font>
      <sz val="10"/>
      <color indexed="30"/>
      <name val="Times New Roman"/>
      <family val="1"/>
    </font>
    <font>
      <sz val="8"/>
      <color indexed="30"/>
      <name val="Times New Roman"/>
      <family val="1"/>
    </font>
    <font>
      <sz val="10"/>
      <name val="Calibri"/>
      <family val="2"/>
    </font>
    <font>
      <b/>
      <sz val="10"/>
      <color indexed="8"/>
      <name val="Calibri"/>
      <family val="2"/>
    </font>
    <font>
      <b/>
      <sz val="10"/>
      <name val="Calibri"/>
      <family val="2"/>
    </font>
    <font>
      <i/>
      <sz val="10"/>
      <color indexed="8"/>
      <name val="Calibri"/>
      <family val="2"/>
    </font>
    <font>
      <b/>
      <i/>
      <sz val="10"/>
      <name val="Calibri"/>
      <family val="2"/>
    </font>
    <font>
      <b/>
      <sz val="10"/>
      <color indexed="10"/>
      <name val="Calibri"/>
      <family val="2"/>
    </font>
    <font>
      <b/>
      <sz val="14"/>
      <color indexed="12"/>
      <name val="Calibri"/>
      <family val="2"/>
    </font>
    <font>
      <i/>
      <sz val="10"/>
      <name val="Calibri"/>
      <family val="2"/>
    </font>
    <font>
      <sz val="9"/>
      <name val="宋体"/>
      <family val="3"/>
      <charset val="134"/>
    </font>
    <font>
      <sz val="10"/>
      <color indexed="10"/>
      <name val="Arial"/>
      <family val="2"/>
    </font>
    <font>
      <sz val="11"/>
      <color indexed="8"/>
      <name val="Times New Roman"/>
      <family val="1"/>
    </font>
    <font>
      <sz val="11"/>
      <color indexed="10"/>
      <name val="Times New Roman"/>
      <family val="1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b/>
      <u/>
      <sz val="10"/>
      <color indexed="9"/>
      <name val="Arial"/>
      <family val="2"/>
    </font>
    <font>
      <sz val="10"/>
      <color indexed="8"/>
      <name val="Arial"/>
      <family val="2"/>
    </font>
    <font>
      <sz val="8"/>
      <name val="Verdana"/>
      <family val="2"/>
    </font>
    <font>
      <sz val="10"/>
      <color indexed="12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i/>
      <u/>
      <sz val="10"/>
      <color indexed="8"/>
      <name val="Arial"/>
      <family val="2"/>
    </font>
    <font>
      <b/>
      <i/>
      <u/>
      <sz val="10"/>
      <color indexed="9"/>
      <name val="Arial"/>
      <family val="2"/>
    </font>
    <font>
      <b/>
      <u/>
      <sz val="11"/>
      <color indexed="8"/>
      <name val="Times New Roman"/>
      <family val="1"/>
    </font>
    <font>
      <b/>
      <u/>
      <sz val="10"/>
      <name val="Arial"/>
      <family val="2"/>
    </font>
    <font>
      <u/>
      <sz val="11"/>
      <color theme="10"/>
      <name val="Calibri"/>
      <family val="3"/>
      <charset val="134"/>
      <scheme val="minor"/>
    </font>
    <font>
      <u/>
      <sz val="11"/>
      <color theme="11"/>
      <name val="Calibri"/>
      <family val="3"/>
      <charset val="134"/>
      <scheme val="minor"/>
    </font>
    <font>
      <sz val="10"/>
      <color rgb="FFDD0806"/>
      <name val="Times New Roman"/>
      <family val="1"/>
    </font>
    <font>
      <i/>
      <sz val="10"/>
      <color rgb="FFFF0000"/>
      <name val="Arial Black"/>
      <family val="2"/>
    </font>
    <font>
      <b/>
      <i/>
      <sz val="30"/>
      <color rgb="FFFF0000"/>
      <name val="Arial Black"/>
      <family val="2"/>
    </font>
    <font>
      <b/>
      <sz val="11"/>
      <color rgb="FFFFFFFF"/>
      <name val="Calibri"/>
      <family val="2"/>
      <scheme val="minor"/>
    </font>
    <font>
      <sz val="11"/>
      <color rgb="FF000000"/>
      <name val="Calibri"/>
      <family val="3"/>
      <charset val="134"/>
      <scheme val="minor"/>
    </font>
    <font>
      <i/>
      <sz val="10"/>
      <color indexed="8"/>
      <name val="Arial"/>
      <family val="2"/>
    </font>
    <font>
      <i/>
      <sz val="10"/>
      <color rgb="FFFF0000"/>
      <name val="Arial"/>
      <family val="2"/>
    </font>
    <font>
      <sz val="11"/>
      <color rgb="FFFF0000"/>
      <name val="Calibri"/>
      <family val="3"/>
      <charset val="134"/>
      <scheme val="minor"/>
    </font>
    <font>
      <sz val="11"/>
      <name val="Calibri"/>
      <family val="3"/>
      <charset val="134"/>
      <scheme val="minor"/>
    </font>
    <font>
      <sz val="9"/>
      <name val="Calibri"/>
      <family val="3"/>
      <charset val="134"/>
      <scheme val="minor"/>
    </font>
    <font>
      <sz val="11"/>
      <name val="Times New Roman"/>
      <family val="1"/>
    </font>
    <font>
      <sz val="11"/>
      <color theme="1"/>
      <name val="Calibri"/>
      <family val="3"/>
      <charset val="134"/>
      <scheme val="minor"/>
    </font>
    <font>
      <sz val="8"/>
      <name val="Arial"/>
      <family val="2"/>
    </font>
    <font>
      <sz val="10"/>
      <color rgb="FFFF0000"/>
      <name val="Times New Roman"/>
      <family val="1"/>
    </font>
    <font>
      <sz val="11"/>
      <color theme="1"/>
      <name val="Arial Unicode MS"/>
      <family val="2"/>
      <charset val="134"/>
    </font>
    <font>
      <b/>
      <sz val="10"/>
      <color theme="1"/>
      <name val="Arial"/>
      <family val="2"/>
    </font>
    <font>
      <b/>
      <sz val="10"/>
      <color indexed="9"/>
      <name val="Times New Roman"/>
    </font>
    <font>
      <b/>
      <u/>
      <sz val="10"/>
      <color indexed="8"/>
      <name val="Times New Roman"/>
    </font>
    <font>
      <b/>
      <i/>
      <sz val="10"/>
      <color indexed="61"/>
      <name val="Times New Roman"/>
      <family val="1"/>
    </font>
    <font>
      <b/>
      <sz val="10"/>
      <color indexed="61"/>
      <name val="Times New Roman"/>
      <family val="1"/>
    </font>
    <font>
      <b/>
      <i/>
      <u/>
      <sz val="10"/>
      <color indexed="8"/>
      <name val="Times New Roman"/>
    </font>
    <font>
      <i/>
      <u/>
      <sz val="10"/>
      <color indexed="8"/>
      <name val="Times New Roman"/>
    </font>
  </fonts>
  <fills count="16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39997558519241921"/>
        <bgColor rgb="FF000000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4F81BD"/>
        <bgColor rgb="FF000000"/>
      </patternFill>
    </fill>
    <fill>
      <patternFill patternType="solid">
        <fgColor indexed="43"/>
        <bgColor indexed="9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EE82E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</fills>
  <borders count="52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double">
        <color auto="1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09">
    <xf numFmtId="0" fontId="0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4" fillId="0" borderId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>
      <alignment vertical="top"/>
    </xf>
    <xf numFmtId="0" fontId="3" fillId="0" borderId="0">
      <alignment vertical="top"/>
    </xf>
    <xf numFmtId="0" fontId="2" fillId="0" borderId="0">
      <alignment vertical="top"/>
    </xf>
    <xf numFmtId="0" fontId="3" fillId="0" borderId="0">
      <alignment vertical="top"/>
    </xf>
    <xf numFmtId="0" fontId="2" fillId="0" borderId="0">
      <alignment vertical="top"/>
    </xf>
    <xf numFmtId="165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68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2" fillId="0" borderId="0"/>
    <xf numFmtId="0" fontId="68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9" fillId="0" borderId="0" applyNumberFormat="0" applyFill="0" applyBorder="0" applyAlignment="0" applyProtection="0"/>
  </cellStyleXfs>
  <cellXfs count="1178">
    <xf numFmtId="0" fontId="0" fillId="0" borderId="0" xfId="0"/>
    <xf numFmtId="0" fontId="0" fillId="0" borderId="0" xfId="0"/>
    <xf numFmtId="0" fontId="0" fillId="3" borderId="0" xfId="0" applyFill="1"/>
    <xf numFmtId="0" fontId="4" fillId="4" borderId="0" xfId="13" applyFont="1" applyFill="1" applyAlignment="1"/>
    <xf numFmtId="0" fontId="12" fillId="4" borderId="0" xfId="13" applyFont="1" applyFill="1" applyAlignment="1">
      <alignment horizontal="centerContinuous"/>
    </xf>
    <xf numFmtId="0" fontId="5" fillId="4" borderId="0" xfId="13" applyFont="1" applyFill="1" applyAlignment="1">
      <alignment horizontal="centerContinuous"/>
    </xf>
    <xf numFmtId="0" fontId="4" fillId="4" borderId="0" xfId="13" applyFont="1" applyFill="1" applyAlignment="1">
      <alignment horizontal="centerContinuous"/>
    </xf>
    <xf numFmtId="0" fontId="7" fillId="4" borderId="0" xfId="13" applyFont="1" applyFill="1" applyAlignment="1">
      <alignment horizontal="centerContinuous" vertical="justify"/>
    </xf>
    <xf numFmtId="0" fontId="4" fillId="4" borderId="4" xfId="13" applyFont="1" applyFill="1" applyBorder="1" applyAlignment="1"/>
    <xf numFmtId="0" fontId="5" fillId="4" borderId="4" xfId="13" applyFont="1" applyFill="1" applyBorder="1" applyAlignment="1">
      <alignment horizontal="centerContinuous"/>
    </xf>
    <xf numFmtId="0" fontId="26" fillId="4" borderId="4" xfId="13" applyFont="1" applyFill="1" applyBorder="1" applyAlignment="1">
      <alignment horizontal="centerContinuous"/>
    </xf>
    <xf numFmtId="0" fontId="5" fillId="4" borderId="4" xfId="13" applyFont="1" applyFill="1" applyBorder="1" applyAlignment="1"/>
    <xf numFmtId="0" fontId="4" fillId="4" borderId="0" xfId="13" applyFont="1" applyFill="1" applyBorder="1" applyAlignment="1"/>
    <xf numFmtId="0" fontId="4" fillId="4" borderId="2" xfId="13" applyFont="1" applyFill="1" applyBorder="1" applyAlignment="1"/>
    <xf numFmtId="0" fontId="4" fillId="4" borderId="19" xfId="13" applyFont="1" applyFill="1" applyBorder="1" applyAlignment="1"/>
    <xf numFmtId="0" fontId="10" fillId="4" borderId="0" xfId="13" applyFont="1" applyFill="1" applyAlignment="1">
      <alignment horizontal="right"/>
    </xf>
    <xf numFmtId="0" fontId="10" fillId="4" borderId="0" xfId="13" applyFont="1" applyFill="1" applyBorder="1" applyAlignment="1">
      <alignment horizontal="right"/>
    </xf>
    <xf numFmtId="1" fontId="10" fillId="4" borderId="15" xfId="8" applyNumberFormat="1" applyFont="1" applyFill="1" applyBorder="1" applyAlignment="1">
      <alignment horizontal="right"/>
    </xf>
    <xf numFmtId="0" fontId="5" fillId="4" borderId="0" xfId="13" applyFont="1" applyFill="1" applyAlignment="1"/>
    <xf numFmtId="0" fontId="11" fillId="4" borderId="0" xfId="13" applyFont="1" applyFill="1" applyBorder="1" applyProtection="1">
      <alignment vertical="top"/>
    </xf>
    <xf numFmtId="0" fontId="10" fillId="4" borderId="15" xfId="13" applyFont="1" applyFill="1" applyBorder="1" applyAlignment="1">
      <alignment horizontal="right"/>
    </xf>
    <xf numFmtId="0" fontId="5" fillId="4" borderId="0" xfId="13" applyFont="1" applyFill="1" applyBorder="1" applyAlignment="1"/>
    <xf numFmtId="0" fontId="4" fillId="4" borderId="0" xfId="13" applyFont="1" applyFill="1" applyBorder="1" applyAlignment="1">
      <alignment horizontal="right"/>
    </xf>
    <xf numFmtId="0" fontId="4" fillId="4" borderId="15" xfId="13" applyFont="1" applyFill="1" applyBorder="1" applyAlignment="1">
      <alignment horizontal="right"/>
    </xf>
    <xf numFmtId="10" fontId="11" fillId="4" borderId="0" xfId="6" applyNumberFormat="1" applyFont="1" applyFill="1" applyBorder="1" applyAlignment="1" applyProtection="1">
      <alignment vertical="top"/>
    </xf>
    <xf numFmtId="169" fontId="4" fillId="4" borderId="4" xfId="24" applyNumberFormat="1" applyFont="1" applyFill="1" applyBorder="1" applyAlignment="1">
      <alignment horizontal="right"/>
    </xf>
    <xf numFmtId="0" fontId="4" fillId="4" borderId="4" xfId="0" applyFont="1" applyFill="1" applyBorder="1" applyAlignment="1"/>
    <xf numFmtId="0" fontId="4" fillId="4" borderId="16" xfId="0" applyFont="1" applyFill="1" applyBorder="1" applyAlignment="1"/>
    <xf numFmtId="189" fontId="4" fillId="4" borderId="0" xfId="13" applyNumberFormat="1" applyFont="1" applyFill="1" applyBorder="1" applyAlignment="1"/>
    <xf numFmtId="197" fontId="4" fillId="4" borderId="0" xfId="6" applyNumberFormat="1" applyFont="1" applyFill="1" applyBorder="1" applyAlignment="1">
      <alignment horizontal="right"/>
    </xf>
    <xf numFmtId="197" fontId="4" fillId="4" borderId="0" xfId="6" applyNumberFormat="1" applyFont="1" applyFill="1" applyBorder="1" applyAlignment="1"/>
    <xf numFmtId="0" fontId="4" fillId="4" borderId="0" xfId="13" applyNumberFormat="1" applyFont="1" applyFill="1" applyBorder="1" applyAlignment="1">
      <alignment horizontal="right"/>
    </xf>
    <xf numFmtId="10" fontId="4" fillId="4" borderId="0" xfId="13" applyNumberFormat="1" applyFont="1" applyFill="1" applyBorder="1" applyAlignment="1"/>
    <xf numFmtId="0" fontId="4" fillId="4" borderId="11" xfId="13" applyFont="1" applyFill="1" applyBorder="1" applyAlignment="1"/>
    <xf numFmtId="0" fontId="11" fillId="4" borderId="11" xfId="13" applyFont="1" applyFill="1" applyBorder="1" applyProtection="1">
      <alignment vertical="top"/>
    </xf>
    <xf numFmtId="167" fontId="8" fillId="4" borderId="11" xfId="13" applyNumberFormat="1" applyFont="1" applyFill="1" applyBorder="1" applyAlignment="1"/>
    <xf numFmtId="167" fontId="8" fillId="4" borderId="26" xfId="13" applyNumberFormat="1" applyFont="1" applyFill="1" applyBorder="1" applyAlignment="1"/>
    <xf numFmtId="0" fontId="4" fillId="4" borderId="27" xfId="13" applyFont="1" applyFill="1" applyBorder="1" applyAlignment="1">
      <alignment horizontal="right"/>
    </xf>
    <xf numFmtId="2" fontId="4" fillId="4" borderId="0" xfId="13" applyNumberFormat="1" applyFont="1" applyFill="1" applyBorder="1" applyAlignment="1"/>
    <xf numFmtId="198" fontId="4" fillId="4" borderId="0" xfId="6" applyNumberFormat="1" applyFont="1" applyFill="1" applyBorder="1" applyAlignment="1"/>
    <xf numFmtId="10" fontId="4" fillId="4" borderId="0" xfId="6" applyNumberFormat="1" applyFont="1" applyFill="1" applyBorder="1" applyAlignment="1"/>
    <xf numFmtId="167" fontId="8" fillId="4" borderId="0" xfId="13" applyNumberFormat="1" applyFont="1" applyFill="1" applyBorder="1" applyAlignment="1">
      <alignment horizontal="right"/>
    </xf>
    <xf numFmtId="10" fontId="8" fillId="4" borderId="0" xfId="13" applyNumberFormat="1" applyFont="1" applyFill="1" applyBorder="1" applyAlignment="1"/>
    <xf numFmtId="0" fontId="4" fillId="5" borderId="0" xfId="0" applyFont="1" applyFill="1"/>
    <xf numFmtId="197" fontId="4" fillId="4" borderId="0" xfId="6" applyNumberFormat="1" applyFont="1" applyFill="1" applyAlignment="1"/>
    <xf numFmtId="0" fontId="11" fillId="4" borderId="0" xfId="13" applyFont="1" applyFill="1" applyBorder="1" applyAlignment="1"/>
    <xf numFmtId="2" fontId="43" fillId="4" borderId="0" xfId="13" applyNumberFormat="1" applyFont="1" applyFill="1" applyBorder="1" applyAlignment="1"/>
    <xf numFmtId="170" fontId="4" fillId="4" borderId="0" xfId="8" applyNumberFormat="1" applyFont="1" applyFill="1" applyBorder="1"/>
    <xf numFmtId="170" fontId="4" fillId="4" borderId="0" xfId="13" applyNumberFormat="1" applyFont="1" applyFill="1" applyBorder="1" applyAlignment="1"/>
    <xf numFmtId="198" fontId="43" fillId="4" borderId="0" xfId="6" applyNumberFormat="1" applyFont="1" applyFill="1" applyBorder="1" applyAlignment="1"/>
    <xf numFmtId="2" fontId="42" fillId="4" borderId="0" xfId="13" applyNumberFormat="1" applyFont="1" applyFill="1" applyBorder="1" applyAlignment="1"/>
    <xf numFmtId="2" fontId="42" fillId="4" borderId="0" xfId="8" applyNumberFormat="1" applyFont="1" applyFill="1" applyBorder="1"/>
    <xf numFmtId="167" fontId="8" fillId="4" borderId="0" xfId="8" applyNumberFormat="1" applyFont="1" applyFill="1" applyBorder="1" applyAlignment="1">
      <alignment horizontal="right"/>
    </xf>
    <xf numFmtId="10" fontId="8" fillId="4" borderId="0" xfId="8" applyNumberFormat="1" applyFont="1" applyFill="1" applyBorder="1" applyAlignment="1">
      <alignment horizontal="right"/>
    </xf>
    <xf numFmtId="4" fontId="5" fillId="4" borderId="2" xfId="13" applyNumberFormat="1" applyFont="1" applyFill="1" applyBorder="1" applyAlignment="1">
      <alignment horizontal="right"/>
    </xf>
    <xf numFmtId="170" fontId="5" fillId="4" borderId="2" xfId="13" applyNumberFormat="1" applyFont="1" applyFill="1" applyBorder="1" applyAlignment="1">
      <alignment horizontal="right"/>
    </xf>
    <xf numFmtId="170" fontId="4" fillId="4" borderId="0" xfId="13" applyNumberFormat="1" applyFont="1" applyFill="1" applyAlignment="1"/>
    <xf numFmtId="0" fontId="4" fillId="4" borderId="16" xfId="13" applyFont="1" applyFill="1" applyBorder="1" applyAlignment="1"/>
    <xf numFmtId="0" fontId="5" fillId="4" borderId="0" xfId="13" applyFont="1" applyFill="1" applyBorder="1" applyAlignment="1">
      <alignment horizontal="right"/>
    </xf>
    <xf numFmtId="0" fontId="4" fillId="4" borderId="0" xfId="13" applyFont="1" applyFill="1" applyBorder="1" applyAlignment="1">
      <alignment horizontal="center"/>
    </xf>
    <xf numFmtId="0" fontId="4" fillId="4" borderId="0" xfId="13" applyFont="1" applyFill="1" applyAlignment="1">
      <alignment horizontal="center"/>
    </xf>
    <xf numFmtId="0" fontId="4" fillId="4" borderId="4" xfId="13" applyFont="1" applyFill="1" applyBorder="1" applyAlignment="1">
      <alignment horizontal="center"/>
    </xf>
    <xf numFmtId="0" fontId="5" fillId="4" borderId="0" xfId="13" applyFont="1" applyFill="1" applyBorder="1" applyAlignment="1">
      <alignment horizontal="center"/>
    </xf>
    <xf numFmtId="0" fontId="26" fillId="4" borderId="4" xfId="13" applyFont="1" applyFill="1" applyBorder="1" applyAlignment="1">
      <alignment horizontal="center"/>
    </xf>
    <xf numFmtId="0" fontId="4" fillId="4" borderId="2" xfId="13" applyFont="1" applyFill="1" applyBorder="1" applyAlignment="1">
      <alignment horizontal="center"/>
    </xf>
    <xf numFmtId="0" fontId="4" fillId="4" borderId="19" xfId="13" applyFont="1" applyFill="1" applyBorder="1" applyAlignment="1">
      <alignment horizontal="center"/>
    </xf>
    <xf numFmtId="0" fontId="10" fillId="4" borderId="0" xfId="13" applyFont="1" applyFill="1" applyBorder="1" applyAlignment="1">
      <alignment horizontal="center"/>
    </xf>
    <xf numFmtId="1" fontId="10" fillId="4" borderId="15" xfId="8" applyNumberFormat="1" applyFont="1" applyFill="1" applyBorder="1" applyAlignment="1">
      <alignment horizontal="center"/>
    </xf>
    <xf numFmtId="10" fontId="4" fillId="4" borderId="0" xfId="8" applyNumberFormat="1" applyFont="1" applyFill="1" applyBorder="1" applyAlignment="1">
      <alignment horizontal="center"/>
    </xf>
    <xf numFmtId="10" fontId="4" fillId="4" borderId="0" xfId="6" applyNumberFormat="1" applyFont="1" applyFill="1" applyAlignment="1">
      <alignment horizontal="center" vertical="top"/>
    </xf>
    <xf numFmtId="167" fontId="4" fillId="4" borderId="0" xfId="8" applyNumberFormat="1" applyFont="1" applyFill="1" applyBorder="1" applyAlignment="1">
      <alignment horizontal="center"/>
    </xf>
    <xf numFmtId="167" fontId="4" fillId="4" borderId="15" xfId="8" applyNumberFormat="1" applyFont="1" applyFill="1" applyBorder="1" applyAlignment="1">
      <alignment horizontal="center"/>
    </xf>
    <xf numFmtId="0" fontId="4" fillId="4" borderId="0" xfId="13" applyFont="1" applyFill="1" applyBorder="1" applyAlignment="1">
      <alignment horizontal="left" indent="1"/>
    </xf>
    <xf numFmtId="167" fontId="4" fillId="4" borderId="0" xfId="7" applyNumberFormat="1" applyFont="1" applyFill="1" applyBorder="1" applyAlignment="1">
      <alignment horizontal="center"/>
    </xf>
    <xf numFmtId="167" fontId="4" fillId="4" borderId="0" xfId="6" applyNumberFormat="1" applyFont="1" applyFill="1" applyBorder="1" applyAlignment="1">
      <alignment horizontal="center"/>
    </xf>
    <xf numFmtId="0" fontId="11" fillId="4" borderId="0" xfId="13" applyFont="1" applyFill="1" applyBorder="1" applyAlignment="1">
      <alignment horizontal="center"/>
    </xf>
    <xf numFmtId="2" fontId="11" fillId="4" borderId="0" xfId="13" applyNumberFormat="1" applyFont="1" applyFill="1" applyBorder="1" applyAlignment="1">
      <alignment horizontal="center"/>
    </xf>
    <xf numFmtId="2" fontId="4" fillId="4" borderId="0" xfId="13" applyNumberFormat="1" applyFont="1" applyFill="1" applyBorder="1" applyAlignment="1">
      <alignment horizontal="center"/>
    </xf>
    <xf numFmtId="0" fontId="0" fillId="4" borderId="0" xfId="0" applyFill="1" applyAlignment="1">
      <alignment horizontal="center"/>
    </xf>
    <xf numFmtId="170" fontId="11" fillId="4" borderId="0" xfId="12" applyNumberFormat="1" applyFont="1" applyFill="1" applyBorder="1" applyAlignment="1">
      <alignment horizontal="center"/>
    </xf>
    <xf numFmtId="170" fontId="11" fillId="4" borderId="0" xfId="13" applyNumberFormat="1" applyFont="1" applyFill="1" applyBorder="1" applyAlignment="1">
      <alignment horizontal="center"/>
    </xf>
    <xf numFmtId="170" fontId="4" fillId="4" borderId="0" xfId="13" applyNumberFormat="1" applyFont="1" applyFill="1" applyBorder="1" applyAlignment="1">
      <alignment horizontal="center"/>
    </xf>
    <xf numFmtId="0" fontId="11" fillId="4" borderId="0" xfId="13" applyFont="1" applyFill="1" applyBorder="1" applyAlignment="1">
      <alignment horizontal="right"/>
    </xf>
    <xf numFmtId="1" fontId="4" fillId="4" borderId="0" xfId="8" applyNumberFormat="1" applyFont="1" applyFill="1" applyBorder="1" applyAlignment="1">
      <alignment horizontal="right"/>
    </xf>
    <xf numFmtId="0" fontId="11" fillId="4" borderId="0" xfId="13" applyFont="1" applyFill="1" applyBorder="1" applyAlignment="1">
      <alignment horizontal="centerContinuous"/>
    </xf>
    <xf numFmtId="0" fontId="4" fillId="4" borderId="0" xfId="13" applyFont="1" applyFill="1" applyAlignment="1">
      <alignment horizontal="left" indent="1"/>
    </xf>
    <xf numFmtId="0" fontId="8" fillId="4" borderId="0" xfId="13" quotePrefix="1" applyFont="1" applyFill="1" applyProtection="1">
      <alignment vertical="top"/>
    </xf>
    <xf numFmtId="0" fontId="5" fillId="4" borderId="0" xfId="13" applyFont="1" applyFill="1" applyAlignment="1">
      <alignment horizontal="left" indent="1"/>
    </xf>
    <xf numFmtId="180" fontId="10" fillId="4" borderId="0" xfId="13" applyNumberFormat="1" applyFont="1" applyFill="1" applyBorder="1" applyAlignment="1">
      <alignment horizontal="right"/>
    </xf>
    <xf numFmtId="1" fontId="4" fillId="4" borderId="15" xfId="8" applyNumberFormat="1" applyFont="1" applyFill="1" applyBorder="1" applyAlignment="1">
      <alignment horizontal="right"/>
    </xf>
    <xf numFmtId="2" fontId="5" fillId="4" borderId="0" xfId="13" applyNumberFormat="1" applyFont="1" applyFill="1" applyBorder="1" applyAlignment="1"/>
    <xf numFmtId="0" fontId="11" fillId="4" borderId="0" xfId="13" applyFont="1" applyFill="1" applyProtection="1">
      <alignment vertical="top"/>
    </xf>
    <xf numFmtId="170" fontId="9" fillId="4" borderId="0" xfId="13" applyNumberFormat="1" applyFont="1" applyFill="1" applyBorder="1" applyAlignment="1"/>
    <xf numFmtId="170" fontId="4" fillId="4" borderId="0" xfId="13" applyNumberFormat="1" applyFont="1" applyFill="1" applyBorder="1" applyAlignment="1">
      <alignment horizontal="right"/>
    </xf>
    <xf numFmtId="170" fontId="4" fillId="4" borderId="15" xfId="13" applyNumberFormat="1" applyFont="1" applyFill="1" applyBorder="1" applyAlignment="1">
      <alignment horizontal="right"/>
    </xf>
    <xf numFmtId="2" fontId="41" fillId="4" borderId="0" xfId="13" applyNumberFormat="1" applyFont="1" applyFill="1" applyBorder="1" applyAlignment="1"/>
    <xf numFmtId="170" fontId="9" fillId="4" borderId="4" xfId="13" applyNumberFormat="1" applyFont="1" applyFill="1" applyBorder="1" applyAlignment="1"/>
    <xf numFmtId="170" fontId="5" fillId="4" borderId="0" xfId="13" applyNumberFormat="1" applyFont="1" applyFill="1" applyBorder="1" applyAlignment="1">
      <alignment horizontal="right"/>
    </xf>
    <xf numFmtId="170" fontId="5" fillId="4" borderId="15" xfId="13" applyNumberFormat="1" applyFont="1" applyFill="1" applyBorder="1" applyAlignment="1">
      <alignment horizontal="right"/>
    </xf>
    <xf numFmtId="2" fontId="4" fillId="4" borderId="0" xfId="13" applyNumberFormat="1" applyFont="1" applyFill="1" applyBorder="1" applyAlignment="1">
      <alignment horizontal="left" indent="1"/>
    </xf>
    <xf numFmtId="2" fontId="5" fillId="4" borderId="0" xfId="13" applyNumberFormat="1" applyFont="1" applyFill="1" applyBorder="1" applyAlignment="1">
      <alignment horizontal="left" indent="1"/>
    </xf>
    <xf numFmtId="2" fontId="5" fillId="4" borderId="10" xfId="13" applyNumberFormat="1" applyFont="1" applyFill="1" applyBorder="1" applyAlignment="1"/>
    <xf numFmtId="170" fontId="4" fillId="4" borderId="10" xfId="13" applyNumberFormat="1" applyFont="1" applyFill="1" applyBorder="1" applyAlignment="1"/>
    <xf numFmtId="2" fontId="4" fillId="4" borderId="0" xfId="13" applyNumberFormat="1" applyFont="1" applyFill="1" applyBorder="1" applyAlignment="1">
      <alignment horizontal="left"/>
    </xf>
    <xf numFmtId="2" fontId="41" fillId="4" borderId="2" xfId="13" applyNumberFormat="1" applyFont="1" applyFill="1" applyBorder="1" applyAlignment="1"/>
    <xf numFmtId="2" fontId="5" fillId="4" borderId="0" xfId="13" applyNumberFormat="1" applyFont="1" applyFill="1" applyBorder="1" applyAlignment="1">
      <alignment horizontal="left"/>
    </xf>
    <xf numFmtId="2" fontId="5" fillId="4" borderId="4" xfId="13" applyNumberFormat="1" applyFont="1" applyFill="1" applyBorder="1" applyAlignment="1"/>
    <xf numFmtId="170" fontId="9" fillId="4" borderId="2" xfId="13" applyNumberFormat="1" applyFont="1" applyFill="1" applyBorder="1" applyAlignment="1"/>
    <xf numFmtId="2" fontId="41" fillId="4" borderId="4" xfId="13" applyNumberFormat="1" applyFont="1" applyFill="1" applyBorder="1" applyAlignment="1"/>
    <xf numFmtId="170" fontId="4" fillId="4" borderId="15" xfId="8" applyNumberFormat="1" applyFont="1" applyFill="1" applyBorder="1" applyAlignment="1">
      <alignment horizontal="right"/>
    </xf>
    <xf numFmtId="2" fontId="9" fillId="4" borderId="4" xfId="13" applyNumberFormat="1" applyFont="1" applyFill="1" applyBorder="1" applyAlignment="1"/>
    <xf numFmtId="2" fontId="19" fillId="4" borderId="0" xfId="13" applyNumberFormat="1" applyFont="1" applyFill="1" applyBorder="1" applyAlignment="1"/>
    <xf numFmtId="2" fontId="5" fillId="4" borderId="21" xfId="13" applyNumberFormat="1" applyFont="1" applyFill="1" applyBorder="1" applyAlignment="1"/>
    <xf numFmtId="0" fontId="4" fillId="4" borderId="15" xfId="13" applyFont="1" applyFill="1" applyBorder="1" applyAlignment="1"/>
    <xf numFmtId="0" fontId="11" fillId="4" borderId="0" xfId="13" applyFont="1" applyFill="1" applyAlignment="1">
      <alignment vertical="top"/>
    </xf>
    <xf numFmtId="2" fontId="4" fillId="4" borderId="4" xfId="13" applyNumberFormat="1" applyFont="1" applyFill="1" applyBorder="1" applyAlignment="1"/>
    <xf numFmtId="2" fontId="4" fillId="4" borderId="0" xfId="13" applyNumberFormat="1" applyFont="1" applyFill="1" applyBorder="1" applyAlignment="1">
      <alignment horizontal="right"/>
    </xf>
    <xf numFmtId="0" fontId="5" fillId="4" borderId="5" xfId="13" applyFont="1" applyFill="1" applyBorder="1" applyProtection="1">
      <alignment vertical="top"/>
    </xf>
    <xf numFmtId="0" fontId="4" fillId="4" borderId="2" xfId="13" applyFont="1" applyFill="1" applyBorder="1" applyProtection="1">
      <alignment vertical="top"/>
    </xf>
    <xf numFmtId="0" fontId="5" fillId="4" borderId="2" xfId="13" applyFont="1" applyFill="1" applyBorder="1" applyAlignment="1">
      <alignment horizontal="right"/>
    </xf>
    <xf numFmtId="0" fontId="5" fillId="4" borderId="19" xfId="13" applyFont="1" applyFill="1" applyBorder="1" applyAlignment="1">
      <alignment horizontal="right"/>
    </xf>
    <xf numFmtId="0" fontId="4" fillId="4" borderId="9" xfId="13" applyFont="1" applyFill="1" applyBorder="1" applyProtection="1">
      <alignment vertical="top"/>
    </xf>
    <xf numFmtId="0" fontId="4" fillId="4" borderId="0" xfId="13" applyFont="1" applyFill="1" applyBorder="1" applyProtection="1">
      <alignment vertical="top"/>
    </xf>
    <xf numFmtId="10" fontId="8" fillId="4" borderId="0" xfId="13" applyNumberFormat="1" applyFont="1" applyFill="1" applyBorder="1" applyAlignment="1">
      <alignment horizontal="right"/>
    </xf>
    <xf numFmtId="0" fontId="4" fillId="4" borderId="6" xfId="13" applyFont="1" applyFill="1" applyBorder="1" applyProtection="1">
      <alignment vertical="top"/>
    </xf>
    <xf numFmtId="0" fontId="4" fillId="4" borderId="4" xfId="13" applyFont="1" applyFill="1" applyBorder="1" applyProtection="1">
      <alignment vertical="top"/>
    </xf>
    <xf numFmtId="167" fontId="8" fillId="4" borderId="4" xfId="13" applyNumberFormat="1" applyFont="1" applyFill="1" applyBorder="1" applyAlignment="1">
      <alignment horizontal="right"/>
    </xf>
    <xf numFmtId="10" fontId="8" fillId="4" borderId="4" xfId="13" applyNumberFormat="1" applyFont="1" applyFill="1" applyBorder="1" applyAlignment="1">
      <alignment horizontal="right"/>
    </xf>
    <xf numFmtId="167" fontId="8" fillId="4" borderId="16" xfId="13" applyNumberFormat="1" applyFont="1" applyFill="1" applyBorder="1" applyAlignment="1">
      <alignment horizontal="right"/>
    </xf>
    <xf numFmtId="0" fontId="7" fillId="4" borderId="0" xfId="13" applyFont="1" applyFill="1" applyBorder="1" applyAlignment="1">
      <alignment horizontal="centerContinuous" vertical="justify"/>
    </xf>
    <xf numFmtId="0" fontId="5" fillId="4" borderId="0" xfId="13" applyFont="1" applyFill="1" applyBorder="1" applyAlignment="1">
      <alignment horizontal="centerContinuous" vertical="justify"/>
    </xf>
    <xf numFmtId="0" fontId="4" fillId="4" borderId="0" xfId="13" applyFont="1" applyFill="1" applyBorder="1" applyAlignment="1">
      <alignment horizontal="centerContinuous"/>
    </xf>
    <xf numFmtId="0" fontId="12" fillId="4" borderId="0" xfId="13" applyFont="1" applyFill="1" applyBorder="1" applyAlignment="1"/>
    <xf numFmtId="0" fontId="26" fillId="4" borderId="0" xfId="13" applyFont="1" applyFill="1" applyBorder="1" applyAlignment="1">
      <alignment horizontal="centerContinuous"/>
    </xf>
    <xf numFmtId="0" fontId="4" fillId="4" borderId="9" xfId="13" applyFont="1" applyFill="1" applyBorder="1" applyAlignment="1"/>
    <xf numFmtId="0" fontId="10" fillId="4" borderId="9" xfId="13" applyFont="1" applyFill="1" applyBorder="1" applyAlignment="1">
      <alignment horizontal="right"/>
    </xf>
    <xf numFmtId="180" fontId="10" fillId="4" borderId="15" xfId="13" applyNumberFormat="1" applyFont="1" applyFill="1" applyBorder="1" applyAlignment="1">
      <alignment horizontal="right"/>
    </xf>
    <xf numFmtId="1" fontId="10" fillId="4" borderId="0" xfId="8" applyNumberFormat="1" applyFont="1" applyFill="1" applyBorder="1" applyAlignment="1">
      <alignment horizontal="right"/>
    </xf>
    <xf numFmtId="2" fontId="5" fillId="4" borderId="5" xfId="13" applyNumberFormat="1" applyFont="1" applyFill="1" applyBorder="1" applyAlignment="1"/>
    <xf numFmtId="2" fontId="4" fillId="4" borderId="2" xfId="13" applyNumberFormat="1" applyFont="1" applyFill="1" applyBorder="1" applyAlignment="1"/>
    <xf numFmtId="2" fontId="4" fillId="4" borderId="5" xfId="13" applyNumberFormat="1" applyFont="1" applyFill="1" applyBorder="1" applyAlignment="1"/>
    <xf numFmtId="2" fontId="5" fillId="4" borderId="2" xfId="13" applyNumberFormat="1" applyFont="1" applyFill="1" applyBorder="1" applyAlignment="1"/>
    <xf numFmtId="2" fontId="4" fillId="4" borderId="19" xfId="13" applyNumberFormat="1" applyFont="1" applyFill="1" applyBorder="1" applyAlignment="1"/>
    <xf numFmtId="2" fontId="4" fillId="4" borderId="9" xfId="13" applyNumberFormat="1" applyFont="1" applyFill="1" applyBorder="1" applyAlignment="1"/>
    <xf numFmtId="2" fontId="5" fillId="4" borderId="9" xfId="13" applyNumberFormat="1" applyFont="1" applyFill="1" applyBorder="1" applyAlignment="1"/>
    <xf numFmtId="2" fontId="21" fillId="4" borderId="9" xfId="13" applyNumberFormat="1" applyFont="1" applyFill="1" applyBorder="1" applyAlignment="1"/>
    <xf numFmtId="2" fontId="23" fillId="4" borderId="9" xfId="13" applyNumberFormat="1" applyFont="1" applyFill="1" applyBorder="1" applyAlignment="1"/>
    <xf numFmtId="2" fontId="23" fillId="4" borderId="0" xfId="13" applyNumberFormat="1" applyFont="1" applyFill="1" applyBorder="1" applyAlignment="1"/>
    <xf numFmtId="2" fontId="4" fillId="4" borderId="0" xfId="13" applyNumberFormat="1" applyFont="1" applyFill="1" applyAlignment="1"/>
    <xf numFmtId="2" fontId="4" fillId="4" borderId="15" xfId="13" applyNumberFormat="1" applyFont="1" applyFill="1" applyBorder="1" applyAlignment="1"/>
    <xf numFmtId="2" fontId="22" fillId="4" borderId="0" xfId="13" applyNumberFormat="1" applyFont="1" applyFill="1" applyBorder="1" applyAlignment="1"/>
    <xf numFmtId="2" fontId="4" fillId="4" borderId="15" xfId="13" applyNumberFormat="1" applyFont="1" applyFill="1" applyBorder="1" applyAlignment="1">
      <alignment horizontal="left"/>
    </xf>
    <xf numFmtId="2" fontId="23" fillId="4" borderId="25" xfId="13" applyNumberFormat="1" applyFont="1" applyFill="1" applyBorder="1" applyAlignment="1"/>
    <xf numFmtId="2" fontId="23" fillId="4" borderId="1" xfId="13" applyNumberFormat="1" applyFont="1" applyFill="1" applyBorder="1" applyAlignment="1"/>
    <xf numFmtId="2" fontId="23" fillId="4" borderId="6" xfId="13" applyNumberFormat="1" applyFont="1" applyFill="1" applyBorder="1" applyAlignment="1"/>
    <xf numFmtId="2" fontId="23" fillId="4" borderId="4" xfId="13" applyNumberFormat="1" applyFont="1" applyFill="1" applyBorder="1" applyAlignment="1"/>
    <xf numFmtId="2" fontId="19" fillId="4" borderId="15" xfId="13" applyNumberFormat="1" applyFont="1" applyFill="1" applyBorder="1" applyAlignment="1"/>
    <xf numFmtId="2" fontId="5" fillId="4" borderId="15" xfId="13" applyNumberFormat="1" applyFont="1" applyFill="1" applyBorder="1" applyAlignment="1"/>
    <xf numFmtId="2" fontId="21" fillId="4" borderId="15" xfId="13" applyNumberFormat="1" applyFont="1" applyFill="1" applyBorder="1" applyAlignment="1"/>
    <xf numFmtId="2" fontId="4" fillId="4" borderId="6" xfId="13" applyNumberFormat="1" applyFont="1" applyFill="1" applyBorder="1" applyAlignment="1"/>
    <xf numFmtId="2" fontId="4" fillId="4" borderId="25" xfId="13" applyNumberFormat="1" applyFont="1" applyFill="1" applyBorder="1" applyAlignment="1"/>
    <xf numFmtId="2" fontId="4" fillId="4" borderId="1" xfId="13" applyNumberFormat="1" applyFont="1" applyFill="1" applyBorder="1" applyAlignment="1"/>
    <xf numFmtId="2" fontId="19" fillId="4" borderId="9" xfId="13" applyNumberFormat="1" applyFont="1" applyFill="1" applyBorder="1" applyAlignment="1"/>
    <xf numFmtId="2" fontId="4" fillId="4" borderId="24" xfId="13" applyNumberFormat="1" applyFont="1" applyFill="1" applyBorder="1" applyAlignment="1"/>
    <xf numFmtId="2" fontId="4" fillId="4" borderId="20" xfId="13" applyNumberFormat="1" applyFont="1" applyFill="1" applyBorder="1" applyAlignment="1"/>
    <xf numFmtId="2" fontId="21" fillId="4" borderId="16" xfId="13" applyNumberFormat="1" applyFont="1" applyFill="1" applyBorder="1" applyAlignment="1"/>
    <xf numFmtId="2" fontId="4" fillId="4" borderId="16" xfId="13" applyNumberFormat="1" applyFont="1" applyFill="1" applyBorder="1" applyAlignment="1"/>
    <xf numFmtId="0" fontId="12" fillId="4" borderId="0" xfId="13" applyFont="1" applyFill="1" applyAlignment="1"/>
    <xf numFmtId="0" fontId="5" fillId="4" borderId="16" xfId="13" applyFont="1" applyFill="1" applyBorder="1" applyAlignment="1">
      <alignment horizontal="right"/>
    </xf>
    <xf numFmtId="2" fontId="19" fillId="4" borderId="5" xfId="13" applyNumberFormat="1" applyFont="1" applyFill="1" applyBorder="1" applyAlignment="1"/>
    <xf numFmtId="2" fontId="4" fillId="4" borderId="8" xfId="13" applyNumberFormat="1" applyFont="1" applyFill="1" applyBorder="1" applyAlignment="1"/>
    <xf numFmtId="2" fontId="20" fillId="4" borderId="9" xfId="13" applyNumberFormat="1" applyFont="1" applyFill="1" applyBorder="1" applyAlignment="1">
      <alignment horizontal="left" indent="1"/>
    </xf>
    <xf numFmtId="2" fontId="4" fillId="4" borderId="3" xfId="13" applyNumberFormat="1" applyFont="1" applyFill="1" applyBorder="1" applyAlignment="1"/>
    <xf numFmtId="2" fontId="4" fillId="4" borderId="9" xfId="13" applyNumberFormat="1" applyFont="1" applyFill="1" applyBorder="1" applyAlignment="1">
      <alignment horizontal="left" indent="2"/>
    </xf>
    <xf numFmtId="2" fontId="23" fillId="4" borderId="3" xfId="13" applyNumberFormat="1" applyFont="1" applyFill="1" applyBorder="1" applyAlignment="1"/>
    <xf numFmtId="2" fontId="8" fillId="4" borderId="9" xfId="13" applyNumberFormat="1" applyFont="1" applyFill="1" applyBorder="1" applyAlignment="1"/>
    <xf numFmtId="2" fontId="4" fillId="4" borderId="9" xfId="13" applyNumberFormat="1" applyFont="1" applyFill="1" applyBorder="1" applyAlignment="1">
      <alignment horizontal="left" indent="1"/>
    </xf>
    <xf numFmtId="2" fontId="23" fillId="4" borderId="7" xfId="13" applyNumberFormat="1" applyFont="1" applyFill="1" applyBorder="1" applyAlignment="1"/>
    <xf numFmtId="2" fontId="5" fillId="4" borderId="13" xfId="13" applyNumberFormat="1" applyFont="1" applyFill="1" applyBorder="1" applyAlignment="1"/>
    <xf numFmtId="2" fontId="5" fillId="4" borderId="22" xfId="13" applyNumberFormat="1" applyFont="1" applyFill="1" applyBorder="1" applyAlignment="1"/>
    <xf numFmtId="2" fontId="21" fillId="4" borderId="9" xfId="13" applyNumberFormat="1" applyFont="1" applyFill="1" applyBorder="1" applyAlignment="1">
      <alignment horizontal="left" indent="2"/>
    </xf>
    <xf numFmtId="2" fontId="4" fillId="4" borderId="13" xfId="13" applyNumberFormat="1" applyFont="1" applyFill="1" applyBorder="1" applyAlignment="1"/>
    <xf numFmtId="2" fontId="4" fillId="4" borderId="22" xfId="13" applyNumberFormat="1" applyFont="1" applyFill="1" applyBorder="1" applyAlignment="1"/>
    <xf numFmtId="2" fontId="25" fillId="4" borderId="0" xfId="13" applyNumberFormat="1" applyFont="1" applyFill="1" applyBorder="1" applyAlignment="1"/>
    <xf numFmtId="2" fontId="4" fillId="4" borderId="16" xfId="13" applyNumberFormat="1" applyFont="1" applyFill="1" applyBorder="1" applyAlignment="1">
      <alignment horizontal="left" indent="1"/>
    </xf>
    <xf numFmtId="2" fontId="5" fillId="4" borderId="16" xfId="13" applyNumberFormat="1" applyFont="1" applyFill="1" applyBorder="1" applyAlignment="1"/>
    <xf numFmtId="2" fontId="19" fillId="4" borderId="16" xfId="13" applyNumberFormat="1" applyFont="1" applyFill="1" applyBorder="1" applyAlignment="1"/>
    <xf numFmtId="0" fontId="4" fillId="4" borderId="0" xfId="13" applyFont="1" applyFill="1" applyBorder="1" applyAlignment="1" applyProtection="1">
      <alignment horizontal="left"/>
    </xf>
    <xf numFmtId="0" fontId="5" fillId="4" borderId="0" xfId="13" quotePrefix="1" applyFont="1" applyFill="1" applyBorder="1" applyAlignment="1" applyProtection="1">
      <alignment horizontal="left"/>
    </xf>
    <xf numFmtId="0" fontId="4" fillId="4" borderId="2" xfId="13" applyFont="1" applyFill="1" applyBorder="1" applyAlignment="1">
      <alignment horizontal="right"/>
    </xf>
    <xf numFmtId="3" fontId="9" fillId="4" borderId="0" xfId="13" applyNumberFormat="1" applyFont="1" applyFill="1" applyBorder="1" applyAlignment="1"/>
    <xf numFmtId="3" fontId="12" fillId="4" borderId="0" xfId="13" applyNumberFormat="1" applyFont="1" applyFill="1" applyBorder="1" applyAlignment="1">
      <alignment horizontal="right"/>
    </xf>
    <xf numFmtId="3" fontId="12" fillId="4" borderId="0" xfId="13" applyNumberFormat="1" applyFont="1" applyFill="1" applyBorder="1" applyAlignment="1">
      <alignment horizontal="left"/>
    </xf>
    <xf numFmtId="0" fontId="12" fillId="4" borderId="0" xfId="13" applyFont="1" applyFill="1" applyBorder="1" applyAlignment="1">
      <alignment horizontal="right"/>
    </xf>
    <xf numFmtId="3" fontId="4" fillId="4" borderId="0" xfId="13" applyNumberFormat="1" applyFont="1" applyFill="1" applyBorder="1" applyAlignment="1">
      <alignment horizontal="right"/>
    </xf>
    <xf numFmtId="0" fontId="7" fillId="4" borderId="0" xfId="13" applyFont="1" applyFill="1" applyBorder="1" applyAlignment="1" applyProtection="1">
      <alignment horizontal="centerContinuous"/>
    </xf>
    <xf numFmtId="0" fontId="8" fillId="4" borderId="0" xfId="13" quotePrefix="1" applyFont="1" applyFill="1" applyAlignment="1" applyProtection="1">
      <alignment horizontal="left"/>
    </xf>
    <xf numFmtId="0" fontId="4" fillId="4" borderId="0" xfId="13" applyFont="1" applyFill="1" applyProtection="1">
      <alignment vertical="top"/>
    </xf>
    <xf numFmtId="0" fontId="36" fillId="4" borderId="0" xfId="13" applyFont="1" applyFill="1" applyProtection="1">
      <alignment vertical="top"/>
    </xf>
    <xf numFmtId="0" fontId="36" fillId="4" borderId="0" xfId="13" applyFont="1" applyFill="1" applyBorder="1" applyProtection="1">
      <alignment vertical="top"/>
    </xf>
    <xf numFmtId="0" fontId="26" fillId="4" borderId="4" xfId="13" applyFont="1" applyFill="1" applyBorder="1" applyAlignment="1" applyProtection="1">
      <alignment horizontal="centerContinuous"/>
    </xf>
    <xf numFmtId="0" fontId="5" fillId="4" borderId="4" xfId="13" applyFont="1" applyFill="1" applyBorder="1" applyAlignment="1" applyProtection="1">
      <alignment horizontal="centerContinuous"/>
    </xf>
    <xf numFmtId="0" fontId="5" fillId="4" borderId="0" xfId="13" applyFont="1" applyFill="1" applyBorder="1" applyAlignment="1" applyProtection="1">
      <alignment horizontal="centerContinuous"/>
    </xf>
    <xf numFmtId="0" fontId="26" fillId="4" borderId="0" xfId="13" applyFont="1" applyFill="1" applyBorder="1" applyAlignment="1" applyProtection="1">
      <alignment horizontal="centerContinuous"/>
    </xf>
    <xf numFmtId="0" fontId="21" fillId="4" borderId="0" xfId="13" quotePrefix="1" applyFont="1" applyFill="1" applyAlignment="1">
      <alignment horizontal="left" indent="3"/>
    </xf>
    <xf numFmtId="0" fontId="5" fillId="4" borderId="0" xfId="13" applyFont="1" applyFill="1" applyBorder="1" applyProtection="1">
      <alignment vertical="top"/>
    </xf>
    <xf numFmtId="0" fontId="33" fillId="4" borderId="0" xfId="13" applyFont="1" applyFill="1" applyBorder="1" applyProtection="1">
      <alignment vertical="top"/>
    </xf>
    <xf numFmtId="0" fontId="13" fillId="4" borderId="0" xfId="13" applyFont="1" applyFill="1" applyBorder="1" applyAlignment="1" applyProtection="1">
      <alignment horizontal="right"/>
    </xf>
    <xf numFmtId="0" fontId="10" fillId="4" borderId="0" xfId="13" quotePrefix="1" applyFont="1" applyFill="1" applyBorder="1" applyAlignment="1" applyProtection="1">
      <alignment horizontal="right"/>
    </xf>
    <xf numFmtId="0" fontId="10" fillId="4" borderId="0" xfId="13" quotePrefix="1" applyNumberFormat="1" applyFont="1" applyFill="1" applyBorder="1" applyAlignment="1" applyProtection="1">
      <alignment horizontal="right"/>
    </xf>
    <xf numFmtId="180" fontId="10" fillId="4" borderId="0" xfId="13" quotePrefix="1" applyNumberFormat="1" applyFont="1" applyFill="1" applyBorder="1" applyAlignment="1" applyProtection="1">
      <alignment horizontal="right"/>
    </xf>
    <xf numFmtId="0" fontId="10" fillId="4" borderId="0" xfId="13" applyFont="1" applyFill="1" applyBorder="1" applyAlignment="1" applyProtection="1">
      <alignment horizontal="right"/>
    </xf>
    <xf numFmtId="170" fontId="5" fillId="4" borderId="0" xfId="13" applyNumberFormat="1" applyFont="1" applyFill="1" applyBorder="1" applyAlignment="1" applyProtection="1">
      <alignment horizontal="right"/>
    </xf>
    <xf numFmtId="2" fontId="33" fillId="4" borderId="0" xfId="13" applyNumberFormat="1" applyFont="1" applyFill="1" applyBorder="1" applyAlignment="1" applyProtection="1">
      <alignment horizontal="right"/>
    </xf>
    <xf numFmtId="192" fontId="4" fillId="4" borderId="0" xfId="13" applyNumberFormat="1" applyFont="1" applyFill="1" applyBorder="1" applyAlignment="1">
      <alignment horizontal="left" indent="4"/>
    </xf>
    <xf numFmtId="0" fontId="21" fillId="4" borderId="5" xfId="13" applyNumberFormat="1" applyFont="1" applyFill="1" applyBorder="1" applyAlignment="1" applyProtection="1">
      <alignment horizontal="left" vertical="center"/>
    </xf>
    <xf numFmtId="172" fontId="37" fillId="4" borderId="8" xfId="13" applyNumberFormat="1" applyFont="1" applyFill="1" applyBorder="1" applyAlignment="1" applyProtection="1">
      <alignment vertical="center"/>
    </xf>
    <xf numFmtId="0" fontId="21" fillId="4" borderId="6" xfId="13" applyNumberFormat="1" applyFont="1" applyFill="1" applyBorder="1" applyAlignment="1" applyProtection="1">
      <alignment horizontal="left" vertical="center"/>
    </xf>
    <xf numFmtId="0" fontId="4" fillId="4" borderId="4" xfId="13" applyNumberFormat="1" applyFont="1" applyFill="1" applyBorder="1" applyProtection="1">
      <alignment vertical="top"/>
    </xf>
    <xf numFmtId="0" fontId="21" fillId="4" borderId="4" xfId="13" quotePrefix="1" applyNumberFormat="1" applyFont="1" applyFill="1" applyBorder="1" applyAlignment="1" applyProtection="1">
      <alignment horizontal="left" vertical="center"/>
    </xf>
    <xf numFmtId="172" fontId="37" fillId="4" borderId="7" xfId="13" applyNumberFormat="1" applyFont="1" applyFill="1" applyBorder="1" applyAlignment="1" applyProtection="1">
      <alignment vertical="center"/>
    </xf>
    <xf numFmtId="0" fontId="4" fillId="4" borderId="0" xfId="13" applyNumberFormat="1" applyFont="1" applyFill="1" applyBorder="1" applyProtection="1">
      <alignment vertical="top"/>
    </xf>
    <xf numFmtId="0" fontId="4" fillId="4" borderId="0" xfId="13" applyNumberFormat="1" applyFont="1" applyFill="1" applyProtection="1">
      <alignment vertical="top"/>
    </xf>
    <xf numFmtId="187" fontId="6" fillId="4" borderId="0" xfId="13" applyNumberFormat="1" applyFont="1" applyFill="1" applyProtection="1">
      <alignment vertical="top"/>
    </xf>
    <xf numFmtId="37" fontId="21" fillId="4" borderId="0" xfId="13" applyNumberFormat="1" applyFont="1" applyFill="1" applyProtection="1">
      <alignment vertical="top"/>
    </xf>
    <xf numFmtId="188" fontId="4" fillId="4" borderId="0" xfId="13" applyNumberFormat="1" applyFont="1" applyFill="1" applyProtection="1">
      <alignment vertical="top"/>
    </xf>
    <xf numFmtId="2" fontId="4" fillId="4" borderId="0" xfId="13" applyNumberFormat="1" applyFont="1" applyFill="1" applyProtection="1">
      <alignment vertical="top"/>
    </xf>
    <xf numFmtId="193" fontId="4" fillId="4" borderId="0" xfId="13" applyNumberFormat="1" applyFont="1" applyFill="1" applyBorder="1" applyAlignment="1"/>
    <xf numFmtId="183" fontId="4" fillId="4" borderId="0" xfId="13" applyNumberFormat="1" applyFont="1" applyFill="1" applyProtection="1">
      <alignment vertical="top"/>
    </xf>
    <xf numFmtId="183" fontId="4" fillId="4" borderId="0" xfId="13" applyNumberFormat="1" applyFont="1" applyFill="1" applyBorder="1" applyProtection="1">
      <alignment vertical="top"/>
    </xf>
    <xf numFmtId="0" fontId="40" fillId="4" borderId="0" xfId="13" applyNumberFormat="1" applyFont="1" applyFill="1" applyAlignment="1" applyProtection="1">
      <alignment horizontal="right"/>
    </xf>
    <xf numFmtId="172" fontId="4" fillId="4" borderId="0" xfId="13" applyNumberFormat="1" applyFont="1" applyFill="1" applyProtection="1">
      <alignment vertical="top"/>
    </xf>
    <xf numFmtId="183" fontId="21" fillId="4" borderId="0" xfId="13" applyNumberFormat="1" applyFont="1" applyFill="1" applyBorder="1" applyProtection="1">
      <alignment vertical="top"/>
    </xf>
    <xf numFmtId="183" fontId="21" fillId="4" borderId="0" xfId="13" applyNumberFormat="1" applyFont="1" applyFill="1" applyProtection="1">
      <alignment vertical="top"/>
    </xf>
    <xf numFmtId="183" fontId="4" fillId="4" borderId="0" xfId="13" applyNumberFormat="1" applyFont="1" applyFill="1" applyBorder="1" applyAlignment="1"/>
    <xf numFmtId="183" fontId="4" fillId="4" borderId="4" xfId="13" applyNumberFormat="1" applyFont="1" applyFill="1" applyBorder="1" applyProtection="1">
      <alignment vertical="top"/>
    </xf>
    <xf numFmtId="183" fontId="4" fillId="4" borderId="15" xfId="13" applyNumberFormat="1" applyFont="1" applyFill="1" applyBorder="1" applyProtection="1">
      <alignment vertical="top"/>
    </xf>
    <xf numFmtId="194" fontId="4" fillId="4" borderId="0" xfId="13" applyNumberFormat="1" applyFont="1" applyFill="1" applyBorder="1" applyProtection="1">
      <alignment vertical="top"/>
    </xf>
    <xf numFmtId="194" fontId="4" fillId="4" borderId="0" xfId="13" applyNumberFormat="1" applyFont="1" applyFill="1" applyProtection="1">
      <alignment vertical="top"/>
    </xf>
    <xf numFmtId="0" fontId="19" fillId="4" borderId="0" xfId="13" applyNumberFormat="1" applyFont="1" applyFill="1" applyAlignment="1" applyProtection="1">
      <alignment vertical="center"/>
    </xf>
    <xf numFmtId="183" fontId="5" fillId="4" borderId="0" xfId="13" applyNumberFormat="1" applyFont="1" applyFill="1" applyBorder="1" applyAlignment="1" applyProtection="1">
      <alignment vertical="center"/>
    </xf>
    <xf numFmtId="2" fontId="36" fillId="4" borderId="0" xfId="13" applyNumberFormat="1" applyFont="1" applyFill="1" applyProtection="1">
      <alignment vertical="top"/>
    </xf>
    <xf numFmtId="0" fontId="36" fillId="4" borderId="4" xfId="13" applyFont="1" applyFill="1" applyBorder="1" applyProtection="1">
      <alignment vertical="top"/>
    </xf>
    <xf numFmtId="37" fontId="4" fillId="4" borderId="4" xfId="24" applyNumberFormat="1" applyFont="1" applyFill="1" applyBorder="1" applyProtection="1"/>
    <xf numFmtId="187" fontId="4" fillId="4" borderId="4" xfId="24" applyNumberFormat="1" applyFont="1" applyFill="1" applyBorder="1" applyProtection="1"/>
    <xf numFmtId="187" fontId="4" fillId="4" borderId="0" xfId="24" applyNumberFormat="1" applyFont="1" applyFill="1" applyBorder="1" applyProtection="1"/>
    <xf numFmtId="0" fontId="4" fillId="4" borderId="23" xfId="13" applyFont="1" applyFill="1" applyBorder="1" applyAlignment="1"/>
    <xf numFmtId="0" fontId="4" fillId="4" borderId="7" xfId="13" applyFont="1" applyFill="1" applyBorder="1" applyAlignment="1"/>
    <xf numFmtId="0" fontId="4" fillId="4" borderId="3" xfId="13" applyFont="1" applyFill="1" applyBorder="1" applyAlignment="1"/>
    <xf numFmtId="1" fontId="39" fillId="4" borderId="0" xfId="13" applyNumberFormat="1" applyFont="1" applyFill="1" applyBorder="1" applyAlignment="1">
      <alignment horizontal="right"/>
    </xf>
    <xf numFmtId="180" fontId="10" fillId="4" borderId="3" xfId="13" quotePrefix="1" applyNumberFormat="1" applyFont="1" applyFill="1" applyBorder="1" applyAlignment="1" applyProtection="1">
      <alignment horizontal="right"/>
    </xf>
    <xf numFmtId="0" fontId="4" fillId="4" borderId="13" xfId="13" applyFont="1" applyFill="1" applyBorder="1" applyProtection="1">
      <alignment vertical="top"/>
    </xf>
    <xf numFmtId="0" fontId="4" fillId="4" borderId="10" xfId="13" applyFont="1" applyFill="1" applyBorder="1" applyProtection="1">
      <alignment vertical="top"/>
    </xf>
    <xf numFmtId="0" fontId="11" fillId="4" borderId="10" xfId="13" applyFont="1" applyFill="1" applyBorder="1" applyProtection="1">
      <alignment vertical="top"/>
    </xf>
    <xf numFmtId="3" fontId="4" fillId="4" borderId="10" xfId="13" applyNumberFormat="1" applyFont="1" applyFill="1" applyBorder="1" applyAlignment="1">
      <alignment horizontal="right"/>
    </xf>
    <xf numFmtId="0" fontId="5" fillId="4" borderId="0" xfId="13" applyFont="1" applyFill="1" applyProtection="1">
      <alignment vertical="top"/>
    </xf>
    <xf numFmtId="1" fontId="38" fillId="4" borderId="0" xfId="13" applyNumberFormat="1" applyFont="1" applyFill="1" applyBorder="1" applyAlignment="1">
      <alignment horizontal="right"/>
    </xf>
    <xf numFmtId="4" fontId="4" fillId="4" borderId="0" xfId="13" applyNumberFormat="1" applyFont="1" applyFill="1" applyBorder="1" applyAlignment="1">
      <alignment horizontal="right"/>
    </xf>
    <xf numFmtId="4" fontId="5" fillId="4" borderId="0" xfId="13" applyNumberFormat="1" applyFont="1" applyFill="1" applyBorder="1" applyProtection="1">
      <alignment vertical="top"/>
    </xf>
    <xf numFmtId="4" fontId="4" fillId="4" borderId="0" xfId="24" applyNumberFormat="1" applyFont="1" applyFill="1" applyBorder="1" applyProtection="1"/>
    <xf numFmtId="4" fontId="5" fillId="4" borderId="0" xfId="13" applyNumberFormat="1" applyFont="1" applyFill="1" applyBorder="1" applyAlignment="1">
      <alignment horizontal="right"/>
    </xf>
    <xf numFmtId="4" fontId="4" fillId="4" borderId="0" xfId="13" applyNumberFormat="1" applyFont="1" applyFill="1" applyProtection="1">
      <alignment vertical="top"/>
    </xf>
    <xf numFmtId="4" fontId="4" fillId="4" borderId="0" xfId="24" applyNumberFormat="1" applyFont="1" applyFill="1" applyBorder="1" applyAlignment="1" applyProtection="1">
      <alignment horizontal="left"/>
    </xf>
    <xf numFmtId="4" fontId="4" fillId="4" borderId="0" xfId="13" applyNumberFormat="1" applyFont="1" applyFill="1" applyBorder="1" applyProtection="1">
      <alignment vertical="top"/>
    </xf>
    <xf numFmtId="4" fontId="4" fillId="4" borderId="4" xfId="13" applyNumberFormat="1" applyFont="1" applyFill="1" applyBorder="1" applyAlignment="1">
      <alignment horizontal="right"/>
    </xf>
    <xf numFmtId="4" fontId="5" fillId="4" borderId="0" xfId="24" applyNumberFormat="1" applyFont="1" applyFill="1" applyBorder="1" applyProtection="1"/>
    <xf numFmtId="0" fontId="12" fillId="4" borderId="0" xfId="13" applyFont="1" applyFill="1" applyProtection="1">
      <alignment vertical="top"/>
    </xf>
    <xf numFmtId="4" fontId="5" fillId="4" borderId="4" xfId="13" applyNumberFormat="1" applyFont="1" applyFill="1" applyBorder="1" applyAlignment="1">
      <alignment horizontal="right"/>
    </xf>
    <xf numFmtId="170" fontId="5" fillId="4" borderId="4" xfId="13" applyNumberFormat="1" applyFont="1" applyFill="1" applyBorder="1" applyAlignment="1">
      <alignment horizontal="right"/>
    </xf>
    <xf numFmtId="43" fontId="4" fillId="4" borderId="4" xfId="13" applyNumberFormat="1" applyFont="1" applyFill="1" applyBorder="1" applyAlignment="1"/>
    <xf numFmtId="4" fontId="5" fillId="4" borderId="17" xfId="13" applyNumberFormat="1" applyFont="1" applyFill="1" applyBorder="1" applyAlignment="1">
      <alignment horizontal="right"/>
    </xf>
    <xf numFmtId="0" fontId="4" fillId="4" borderId="0" xfId="13" applyFont="1" applyFill="1" applyBorder="1" applyAlignment="1" applyProtection="1">
      <alignment horizontal="centerContinuous"/>
    </xf>
    <xf numFmtId="0" fontId="8" fillId="4" borderId="0" xfId="13" quotePrefix="1" applyFont="1" applyFill="1" applyBorder="1" applyProtection="1">
      <alignment vertical="top"/>
    </xf>
    <xf numFmtId="185" fontId="10" fillId="4" borderId="0" xfId="13" quotePrefix="1" applyNumberFormat="1" applyFont="1" applyFill="1" applyBorder="1" applyAlignment="1" applyProtection="1">
      <alignment horizontal="right"/>
    </xf>
    <xf numFmtId="167" fontId="4" fillId="4" borderId="0" xfId="8" applyNumberFormat="1" applyFont="1" applyFill="1" applyBorder="1" applyAlignment="1" applyProtection="1">
      <alignment horizontal="right" vertical="top"/>
    </xf>
    <xf numFmtId="183" fontId="5" fillId="4" borderId="0" xfId="13" applyNumberFormat="1" applyFont="1" applyFill="1" applyBorder="1" applyProtection="1">
      <alignment vertical="top"/>
    </xf>
    <xf numFmtId="5" fontId="5" fillId="4" borderId="0" xfId="13" applyNumberFormat="1" applyFont="1" applyFill="1" applyBorder="1" applyProtection="1">
      <alignment vertical="top"/>
    </xf>
    <xf numFmtId="182" fontId="4" fillId="4" borderId="0" xfId="13" applyNumberFormat="1" applyFont="1" applyFill="1" applyBorder="1" applyProtection="1">
      <alignment vertical="top"/>
    </xf>
    <xf numFmtId="170" fontId="4" fillId="4" borderId="0" xfId="13" applyNumberFormat="1" applyFont="1" applyFill="1" applyBorder="1" applyProtection="1">
      <alignment vertical="top"/>
    </xf>
    <xf numFmtId="182" fontId="37" fillId="4" borderId="0" xfId="13" applyNumberFormat="1" applyFont="1" applyFill="1" applyBorder="1" applyProtection="1">
      <alignment vertical="top"/>
    </xf>
    <xf numFmtId="184" fontId="4" fillId="4" borderId="0" xfId="13" applyNumberFormat="1" applyFont="1" applyFill="1" applyBorder="1" applyProtection="1">
      <alignment vertical="top"/>
    </xf>
    <xf numFmtId="0" fontId="4" fillId="6" borderId="0" xfId="13" applyFont="1" applyFill="1" applyAlignment="1"/>
    <xf numFmtId="0" fontId="7" fillId="6" borderId="0" xfId="13" applyFont="1" applyFill="1" applyAlignment="1">
      <alignment horizontal="centerContinuous" vertical="justify"/>
    </xf>
    <xf numFmtId="0" fontId="5" fillId="6" borderId="1" xfId="13" applyFont="1" applyFill="1" applyBorder="1" applyAlignment="1">
      <alignment horizontal="centerContinuous" vertical="justify"/>
    </xf>
    <xf numFmtId="0" fontId="4" fillId="6" borderId="1" xfId="13" applyFont="1" applyFill="1" applyBorder="1" applyAlignment="1">
      <alignment horizontal="centerContinuous"/>
    </xf>
    <xf numFmtId="0" fontId="4" fillId="6" borderId="0" xfId="13" applyFont="1" applyFill="1" applyBorder="1" applyAlignment="1"/>
    <xf numFmtId="0" fontId="4" fillId="6" borderId="0" xfId="13" applyFont="1" applyFill="1" applyBorder="1" applyProtection="1">
      <alignment vertical="top"/>
    </xf>
    <xf numFmtId="167" fontId="8" fillId="6" borderId="0" xfId="13" applyNumberFormat="1" applyFont="1" applyFill="1" applyBorder="1" applyAlignment="1">
      <alignment horizontal="right"/>
    </xf>
    <xf numFmtId="10" fontId="8" fillId="6" borderId="0" xfId="13" applyNumberFormat="1" applyFont="1" applyFill="1" applyBorder="1" applyAlignment="1">
      <alignment horizontal="right"/>
    </xf>
    <xf numFmtId="0" fontId="5" fillId="6" borderId="4" xfId="13" applyFont="1" applyFill="1" applyBorder="1" applyAlignment="1">
      <alignment horizontal="centerContinuous" vertical="justify"/>
    </xf>
    <xf numFmtId="0" fontId="4" fillId="6" borderId="4" xfId="13" applyFont="1" applyFill="1" applyBorder="1" applyAlignment="1">
      <alignment horizontal="centerContinuous"/>
    </xf>
    <xf numFmtId="3" fontId="4" fillId="6" borderId="0" xfId="13" applyNumberFormat="1" applyFont="1" applyFill="1" applyBorder="1" applyAlignment="1">
      <alignment horizontal="right"/>
    </xf>
    <xf numFmtId="0" fontId="5" fillId="6" borderId="0" xfId="13" applyFont="1" applyFill="1" applyBorder="1" applyAlignment="1">
      <alignment horizontal="right"/>
    </xf>
    <xf numFmtId="0" fontId="7" fillId="6" borderId="0" xfId="13" applyFont="1" applyFill="1" applyAlignment="1" applyProtection="1">
      <alignment horizontal="centerContinuous"/>
    </xf>
    <xf numFmtId="0" fontId="33" fillId="6" borderId="0" xfId="13" applyFont="1" applyFill="1" applyAlignment="1" applyProtection="1">
      <alignment horizontal="centerContinuous"/>
    </xf>
    <xf numFmtId="0" fontId="4" fillId="6" borderId="0" xfId="13" applyFont="1" applyFill="1" applyBorder="1" applyAlignment="1">
      <alignment horizontal="centerContinuous"/>
    </xf>
    <xf numFmtId="0" fontId="7" fillId="6" borderId="0" xfId="13" applyFont="1" applyFill="1" applyBorder="1" applyAlignment="1" applyProtection="1">
      <alignment horizontal="centerContinuous"/>
    </xf>
    <xf numFmtId="0" fontId="0" fillId="4" borderId="0" xfId="0" applyFill="1"/>
    <xf numFmtId="0" fontId="4" fillId="4" borderId="0" xfId="0" applyFont="1" applyFill="1" applyAlignment="1"/>
    <xf numFmtId="167" fontId="4" fillId="4" borderId="0" xfId="0" applyNumberFormat="1" applyFont="1" applyFill="1" applyAlignment="1"/>
    <xf numFmtId="0" fontId="22" fillId="4" borderId="0" xfId="0" applyFont="1" applyFill="1" applyBorder="1" applyAlignment="1"/>
    <xf numFmtId="0" fontId="22" fillId="4" borderId="0" xfId="0" applyFont="1" applyFill="1" applyAlignment="1"/>
    <xf numFmtId="0" fontId="5" fillId="4" borderId="0" xfId="0" applyFont="1" applyFill="1" applyAlignment="1"/>
    <xf numFmtId="1" fontId="10" fillId="4" borderId="0" xfId="0" applyNumberFormat="1" applyFont="1" applyFill="1" applyAlignment="1">
      <alignment horizontal="center"/>
    </xf>
    <xf numFmtId="180" fontId="35" fillId="4" borderId="0" xfId="8" applyNumberFormat="1" applyFont="1" applyFill="1" applyAlignment="1">
      <alignment horizontal="center"/>
    </xf>
    <xf numFmtId="1" fontId="35" fillId="4" borderId="0" xfId="8" applyNumberFormat="1" applyFont="1" applyFill="1" applyAlignment="1">
      <alignment horizontal="center"/>
    </xf>
    <xf numFmtId="167" fontId="4" fillId="4" borderId="22" xfId="7" applyNumberFormat="1" applyFont="1" applyFill="1" applyBorder="1" applyAlignment="1">
      <alignment horizontal="center"/>
    </xf>
    <xf numFmtId="167" fontId="22" fillId="4" borderId="22" xfId="0" applyNumberFormat="1" applyFont="1" applyFill="1" applyBorder="1" applyAlignment="1">
      <alignment horizontal="center"/>
    </xf>
    <xf numFmtId="167" fontId="4" fillId="4" borderId="22" xfId="0" applyNumberFormat="1" applyFont="1" applyFill="1" applyBorder="1" applyAlignment="1"/>
    <xf numFmtId="167" fontId="22" fillId="4" borderId="22" xfId="0" applyNumberFormat="1" applyFont="1" applyFill="1" applyBorder="1" applyAlignment="1"/>
    <xf numFmtId="0" fontId="22" fillId="4" borderId="22" xfId="0" applyFont="1" applyFill="1" applyBorder="1" applyAlignment="1"/>
    <xf numFmtId="167" fontId="22" fillId="4" borderId="0" xfId="0" applyNumberFormat="1" applyFont="1" applyFill="1" applyBorder="1" applyAlignment="1"/>
    <xf numFmtId="167" fontId="70" fillId="5" borderId="22" xfId="0" applyNumberFormat="1" applyFont="1" applyFill="1" applyBorder="1" applyAlignment="1">
      <alignment horizontal="center"/>
    </xf>
    <xf numFmtId="0" fontId="4" fillId="4" borderId="22" xfId="22" applyNumberFormat="1" applyFont="1" applyFill="1" applyBorder="1" applyAlignment="1">
      <alignment horizontal="center"/>
    </xf>
    <xf numFmtId="0" fontId="54" fillId="4" borderId="22" xfId="0" applyNumberFormat="1" applyFont="1" applyFill="1" applyBorder="1"/>
    <xf numFmtId="0" fontId="4" fillId="4" borderId="22" xfId="24" applyNumberFormat="1" applyFont="1" applyFill="1" applyBorder="1" applyAlignment="1">
      <alignment horizontal="center"/>
    </xf>
    <xf numFmtId="0" fontId="4" fillId="4" borderId="22" xfId="0" applyNumberFormat="1" applyFont="1" applyFill="1" applyBorder="1" applyAlignment="1"/>
    <xf numFmtId="0" fontId="54" fillId="4" borderId="22" xfId="26" applyNumberFormat="1" applyFont="1" applyFill="1" applyBorder="1"/>
    <xf numFmtId="0" fontId="4" fillId="4" borderId="22" xfId="0" applyFont="1" applyFill="1" applyBorder="1" applyAlignment="1">
      <alignment horizontal="center"/>
    </xf>
    <xf numFmtId="1" fontId="22" fillId="4" borderId="22" xfId="0" applyNumberFormat="1" applyFont="1" applyFill="1" applyBorder="1" applyAlignment="1"/>
    <xf numFmtId="0" fontId="4" fillId="4" borderId="0" xfId="0" applyFont="1" applyFill="1" applyBorder="1" applyAlignment="1">
      <alignment horizontal="center"/>
    </xf>
    <xf numFmtId="0" fontId="54" fillId="4" borderId="0" xfId="0" applyNumberFormat="1" applyFont="1" applyFill="1" applyBorder="1"/>
    <xf numFmtId="1" fontId="22" fillId="4" borderId="0" xfId="0" applyNumberFormat="1" applyFont="1" applyFill="1" applyBorder="1" applyAlignment="1"/>
    <xf numFmtId="0" fontId="4" fillId="4" borderId="0" xfId="0" applyFont="1" applyFill="1" applyAlignment="1">
      <alignment horizontal="centerContinuous"/>
    </xf>
    <xf numFmtId="0" fontId="54" fillId="4" borderId="0" xfId="0" applyFont="1" applyFill="1"/>
    <xf numFmtId="0" fontId="55" fillId="4" borderId="0" xfId="0" applyFont="1" applyFill="1"/>
    <xf numFmtId="0" fontId="4" fillId="4" borderId="0" xfId="0" applyFont="1" applyFill="1" applyAlignment="1">
      <alignment horizontal="center"/>
    </xf>
    <xf numFmtId="164" fontId="4" fillId="4" borderId="22" xfId="0" applyNumberFormat="1" applyFont="1" applyFill="1" applyBorder="1" applyAlignment="1"/>
    <xf numFmtId="2" fontId="22" fillId="4" borderId="22" xfId="8" applyNumberFormat="1" applyFont="1" applyFill="1" applyBorder="1" applyAlignment="1"/>
    <xf numFmtId="176" fontId="22" fillId="4" borderId="22" xfId="8" applyNumberFormat="1" applyFont="1" applyFill="1" applyBorder="1" applyAlignment="1"/>
    <xf numFmtId="168" fontId="4" fillId="4" borderId="22" xfId="0" applyNumberFormat="1" applyFont="1" applyFill="1" applyBorder="1" applyAlignment="1"/>
    <xf numFmtId="1" fontId="4" fillId="4" borderId="22" xfId="0" applyNumberFormat="1" applyFont="1" applyFill="1" applyBorder="1" applyAlignment="1"/>
    <xf numFmtId="0" fontId="5" fillId="4" borderId="0" xfId="0" applyFont="1" applyFill="1" applyBorder="1" applyAlignment="1"/>
    <xf numFmtId="181" fontId="4" fillId="4" borderId="0" xfId="0" applyNumberFormat="1" applyFont="1" applyFill="1" applyAlignment="1" applyProtection="1">
      <alignment horizontal="left"/>
    </xf>
    <xf numFmtId="0" fontId="8" fillId="4" borderId="0" xfId="0" applyFont="1" applyFill="1" applyAlignment="1">
      <alignment horizontal="left"/>
    </xf>
    <xf numFmtId="0" fontId="8" fillId="4" borderId="0" xfId="0" applyFont="1" applyFill="1" applyAlignment="1">
      <alignment horizontal="centerContinuous"/>
    </xf>
    <xf numFmtId="1" fontId="4" fillId="4" borderId="0" xfId="0" applyNumberFormat="1" applyFont="1" applyFill="1" applyBorder="1" applyAlignment="1"/>
    <xf numFmtId="0" fontId="4" fillId="4" borderId="0" xfId="0" applyFont="1" applyFill="1" applyBorder="1" applyAlignment="1">
      <alignment horizontal="left"/>
    </xf>
    <xf numFmtId="0" fontId="4" fillId="4" borderId="0" xfId="0" applyFont="1" applyFill="1" applyBorder="1" applyAlignment="1"/>
    <xf numFmtId="1" fontId="5" fillId="4" borderId="0" xfId="0" applyNumberFormat="1" applyFont="1" applyFill="1" applyBorder="1" applyAlignment="1"/>
    <xf numFmtId="1" fontId="5" fillId="4" borderId="0" xfId="8" applyNumberFormat="1" applyFont="1" applyFill="1" applyBorder="1" applyAlignment="1">
      <alignment horizontal="right"/>
    </xf>
    <xf numFmtId="1" fontId="32" fillId="4" borderId="0" xfId="8" applyNumberFormat="1" applyFont="1" applyFill="1" applyBorder="1" applyAlignment="1">
      <alignment horizontal="right"/>
    </xf>
    <xf numFmtId="169" fontId="4" fillId="4" borderId="22" xfId="23" applyNumberFormat="1" applyFont="1" applyFill="1" applyBorder="1" applyAlignment="1">
      <alignment horizontal="center"/>
    </xf>
    <xf numFmtId="1" fontId="32" fillId="4" borderId="22" xfId="8" applyNumberFormat="1" applyFont="1" applyFill="1" applyBorder="1" applyAlignment="1">
      <alignment horizontal="right"/>
    </xf>
    <xf numFmtId="3" fontId="22" fillId="4" borderId="22" xfId="8" applyNumberFormat="1" applyFont="1" applyFill="1" applyBorder="1" applyAlignment="1"/>
    <xf numFmtId="169" fontId="4" fillId="4" borderId="0" xfId="23" applyNumberFormat="1" applyFont="1" applyFill="1" applyBorder="1" applyAlignment="1">
      <alignment horizontal="center"/>
    </xf>
    <xf numFmtId="3" fontId="4" fillId="4" borderId="0" xfId="8" applyNumberFormat="1" applyFont="1" applyFill="1" applyBorder="1" applyAlignment="1"/>
    <xf numFmtId="0" fontId="32" fillId="4" borderId="4" xfId="0" applyFont="1" applyFill="1" applyBorder="1" applyAlignment="1">
      <alignment horizontal="centerContinuous"/>
    </xf>
    <xf numFmtId="0" fontId="22" fillId="4" borderId="4" xfId="0" applyFont="1" applyFill="1" applyBorder="1" applyAlignment="1">
      <alignment horizontal="centerContinuous"/>
    </xf>
    <xf numFmtId="167" fontId="4" fillId="4" borderId="22" xfId="8" applyNumberFormat="1" applyFont="1" applyFill="1" applyBorder="1" applyAlignment="1">
      <alignment horizontal="center"/>
    </xf>
    <xf numFmtId="167" fontId="22" fillId="4" borderId="22" xfId="8" applyNumberFormat="1" applyFont="1" applyFill="1" applyBorder="1" applyAlignment="1"/>
    <xf numFmtId="0" fontId="4" fillId="4" borderId="22" xfId="0" applyFont="1" applyFill="1" applyBorder="1" applyAlignment="1"/>
    <xf numFmtId="167" fontId="4" fillId="4" borderId="22" xfId="8" applyNumberFormat="1" applyFont="1" applyFill="1" applyBorder="1" applyAlignment="1"/>
    <xf numFmtId="167" fontId="4" fillId="4" borderId="0" xfId="0" applyNumberFormat="1" applyFont="1" applyFill="1" applyBorder="1" applyAlignment="1"/>
    <xf numFmtId="167" fontId="4" fillId="4" borderId="0" xfId="8" applyNumberFormat="1" applyFont="1" applyFill="1" applyBorder="1" applyAlignment="1"/>
    <xf numFmtId="167" fontId="22" fillId="4" borderId="0" xfId="8" applyNumberFormat="1" applyFont="1" applyFill="1" applyBorder="1" applyAlignment="1"/>
    <xf numFmtId="167" fontId="4" fillId="4" borderId="22" xfId="6" applyNumberFormat="1" applyFont="1" applyFill="1" applyBorder="1" applyAlignment="1">
      <alignment horizontal="center"/>
    </xf>
    <xf numFmtId="167" fontId="4" fillId="4" borderId="22" xfId="13" applyNumberFormat="1" applyFont="1" applyFill="1" applyBorder="1" applyAlignment="1">
      <alignment horizontal="center"/>
    </xf>
    <xf numFmtId="10" fontId="6" fillId="4" borderId="5" xfId="6" applyNumberFormat="1" applyFont="1" applyFill="1" applyBorder="1" applyAlignment="1">
      <alignment horizontal="center"/>
    </xf>
    <xf numFmtId="10" fontId="6" fillId="4" borderId="19" xfId="6" applyNumberFormat="1" applyFont="1" applyFill="1" applyBorder="1" applyAlignment="1">
      <alignment horizontal="center"/>
    </xf>
    <xf numFmtId="10" fontId="6" fillId="4" borderId="2" xfId="13" applyNumberFormat="1" applyFont="1" applyFill="1" applyBorder="1" applyAlignment="1">
      <alignment horizontal="center"/>
    </xf>
    <xf numFmtId="10" fontId="6" fillId="4" borderId="19" xfId="13" applyNumberFormat="1" applyFont="1" applyFill="1" applyBorder="1" applyAlignment="1">
      <alignment horizontal="center"/>
    </xf>
    <xf numFmtId="10" fontId="6" fillId="4" borderId="8" xfId="13" applyNumberFormat="1" applyFont="1" applyFill="1" applyBorder="1" applyAlignment="1">
      <alignment horizontal="center"/>
    </xf>
    <xf numFmtId="10" fontId="6" fillId="4" borderId="13" xfId="6" applyNumberFormat="1" applyFont="1" applyFill="1" applyBorder="1" applyAlignment="1">
      <alignment horizontal="center"/>
    </xf>
    <xf numFmtId="10" fontId="6" fillId="4" borderId="22" xfId="6" applyNumberFormat="1" applyFont="1" applyFill="1" applyBorder="1" applyAlignment="1">
      <alignment horizontal="center"/>
    </xf>
    <xf numFmtId="10" fontId="6" fillId="4" borderId="10" xfId="6" applyNumberFormat="1" applyFont="1" applyFill="1" applyBorder="1" applyAlignment="1">
      <alignment horizontal="center"/>
    </xf>
    <xf numFmtId="10" fontId="6" fillId="4" borderId="14" xfId="6" applyNumberFormat="1" applyFont="1" applyFill="1" applyBorder="1" applyAlignment="1">
      <alignment horizontal="center"/>
    </xf>
    <xf numFmtId="10" fontId="6" fillId="4" borderId="6" xfId="6" applyNumberFormat="1" applyFont="1" applyFill="1" applyBorder="1" applyAlignment="1">
      <alignment horizontal="center"/>
    </xf>
    <xf numFmtId="10" fontId="6" fillId="4" borderId="16" xfId="6" applyNumberFormat="1" applyFont="1" applyFill="1" applyBorder="1" applyAlignment="1">
      <alignment horizontal="center"/>
    </xf>
    <xf numFmtId="10" fontId="6" fillId="4" borderId="4" xfId="13" applyNumberFormat="1" applyFont="1" applyFill="1" applyBorder="1" applyAlignment="1">
      <alignment horizontal="center"/>
    </xf>
    <xf numFmtId="10" fontId="6" fillId="4" borderId="16" xfId="13" applyNumberFormat="1" applyFont="1" applyFill="1" applyBorder="1" applyAlignment="1">
      <alignment horizontal="center"/>
    </xf>
    <xf numFmtId="10" fontId="6" fillId="4" borderId="7" xfId="13" applyNumberFormat="1" applyFont="1" applyFill="1" applyBorder="1" applyAlignment="1">
      <alignment horizontal="center"/>
    </xf>
    <xf numFmtId="10" fontId="53" fillId="4" borderId="7" xfId="13" applyNumberFormat="1" applyFont="1" applyFill="1" applyBorder="1" applyAlignment="1">
      <alignment horizontal="center"/>
    </xf>
    <xf numFmtId="186" fontId="10" fillId="4" borderId="0" xfId="13" applyNumberFormat="1" applyFont="1" applyFill="1" applyBorder="1" applyAlignment="1" applyProtection="1">
      <alignment horizontal="right"/>
    </xf>
    <xf numFmtId="186" fontId="10" fillId="4" borderId="0" xfId="13" quotePrefix="1" applyNumberFormat="1" applyFont="1" applyFill="1" applyBorder="1" applyAlignment="1" applyProtection="1">
      <alignment horizontal="right"/>
    </xf>
    <xf numFmtId="7" fontId="5" fillId="4" borderId="0" xfId="13" applyNumberFormat="1" applyFont="1" applyFill="1" applyBorder="1" applyAlignment="1" applyProtection="1">
      <alignment horizontal="right" vertical="top"/>
    </xf>
    <xf numFmtId="2" fontId="2" fillId="4" borderId="0" xfId="14" applyNumberFormat="1" applyFill="1" applyBorder="1">
      <alignment vertical="top"/>
    </xf>
    <xf numFmtId="0" fontId="2" fillId="4" borderId="0" xfId="13" applyFont="1" applyFill="1" applyBorder="1">
      <alignment vertical="top"/>
    </xf>
    <xf numFmtId="167" fontId="4" fillId="4" borderId="0" xfId="8" applyNumberFormat="1" applyFont="1" applyFill="1" applyBorder="1" applyAlignment="1" applyProtection="1">
      <alignment vertical="top"/>
    </xf>
    <xf numFmtId="7" fontId="4" fillId="4" borderId="0" xfId="13" applyNumberFormat="1" applyFont="1" applyFill="1" applyBorder="1" applyProtection="1">
      <alignment vertical="top"/>
    </xf>
    <xf numFmtId="0" fontId="4" fillId="7" borderId="5" xfId="5" applyFont="1" applyFill="1" applyBorder="1" applyProtection="1"/>
    <xf numFmtId="0" fontId="4" fillId="7" borderId="2" xfId="5" applyFont="1" applyFill="1" applyBorder="1" applyProtection="1"/>
    <xf numFmtId="0" fontId="4" fillId="7" borderId="2" xfId="5" applyFont="1" applyFill="1" applyBorder="1" applyAlignment="1" applyProtection="1">
      <alignment horizontal="center"/>
    </xf>
    <xf numFmtId="0" fontId="4" fillId="7" borderId="8" xfId="5" applyFont="1" applyFill="1" applyBorder="1" applyAlignment="1" applyProtection="1">
      <alignment horizontal="center"/>
    </xf>
    <xf numFmtId="0" fontId="33" fillId="7" borderId="9" xfId="5" applyFont="1" applyFill="1" applyBorder="1" applyAlignment="1" applyProtection="1">
      <alignment vertical="center"/>
    </xf>
    <xf numFmtId="0" fontId="5" fillId="7" borderId="0" xfId="5" applyFont="1" applyFill="1" applyBorder="1" applyAlignment="1" applyProtection="1">
      <alignment vertical="center"/>
    </xf>
    <xf numFmtId="0" fontId="5" fillId="7" borderId="0" xfId="5" applyFont="1" applyFill="1" applyBorder="1" applyProtection="1"/>
    <xf numFmtId="167" fontId="34" fillId="7" borderId="0" xfId="5" applyNumberFormat="1" applyFont="1" applyFill="1" applyBorder="1" applyAlignment="1" applyProtection="1">
      <alignment horizontal="center" vertical="center"/>
    </xf>
    <xf numFmtId="0" fontId="34" fillId="7" borderId="3" xfId="5" applyFont="1" applyFill="1" applyBorder="1" applyAlignment="1" applyProtection="1">
      <alignment horizontal="center" vertical="center"/>
    </xf>
    <xf numFmtId="0" fontId="5" fillId="7" borderId="6" xfId="5" applyFont="1" applyFill="1" applyBorder="1" applyProtection="1"/>
    <xf numFmtId="0" fontId="5" fillId="7" borderId="4" xfId="5" applyFont="1" applyFill="1" applyBorder="1" applyProtection="1"/>
    <xf numFmtId="0" fontId="5" fillId="7" borderId="4" xfId="5" applyFont="1" applyFill="1" applyBorder="1" applyAlignment="1" applyProtection="1">
      <alignment horizontal="center"/>
    </xf>
    <xf numFmtId="0" fontId="5" fillId="7" borderId="7" xfId="5" applyFont="1" applyFill="1" applyBorder="1" applyAlignment="1" applyProtection="1">
      <alignment horizontal="center"/>
    </xf>
    <xf numFmtId="0" fontId="34" fillId="7" borderId="0" xfId="5" applyFont="1" applyFill="1" applyBorder="1" applyAlignment="1" applyProtection="1">
      <alignment horizontal="center" vertical="center"/>
    </xf>
    <xf numFmtId="0" fontId="3" fillId="4" borderId="0" xfId="13" applyFont="1" applyFill="1" applyAlignment="1"/>
    <xf numFmtId="0" fontId="5" fillId="4" borderId="0" xfId="13" applyFont="1" applyFill="1" applyAlignment="1">
      <alignment horizontal="centerContinuous" vertical="justify"/>
    </xf>
    <xf numFmtId="0" fontId="4" fillId="4" borderId="2" xfId="13" applyFont="1" applyFill="1" applyBorder="1" applyAlignment="1" applyProtection="1">
      <alignment horizontal="left"/>
    </xf>
    <xf numFmtId="0" fontId="4" fillId="4" borderId="8" xfId="13" applyFont="1" applyFill="1" applyBorder="1" applyAlignment="1" applyProtection="1">
      <alignment horizontal="left"/>
    </xf>
    <xf numFmtId="14" fontId="4" fillId="4" borderId="0" xfId="13" applyNumberFormat="1" applyFont="1" applyFill="1" applyBorder="1" applyAlignment="1" applyProtection="1">
      <alignment horizontal="left"/>
    </xf>
    <xf numFmtId="37" fontId="9" fillId="4" borderId="0" xfId="13" applyNumberFormat="1" applyFont="1" applyFill="1" applyBorder="1" applyAlignment="1" applyProtection="1">
      <alignment horizontal="right"/>
    </xf>
    <xf numFmtId="165" fontId="4" fillId="4" borderId="3" xfId="18" quotePrefix="1" applyNumberFormat="1" applyFont="1" applyFill="1" applyBorder="1" applyAlignment="1" applyProtection="1">
      <alignment horizontal="left" indent="1"/>
    </xf>
    <xf numFmtId="0" fontId="4" fillId="4" borderId="3" xfId="13" applyFont="1" applyFill="1" applyBorder="1" applyAlignment="1" applyProtection="1">
      <alignment horizontal="left"/>
    </xf>
    <xf numFmtId="37" fontId="9" fillId="4" borderId="4" xfId="13" applyNumberFormat="1" applyFont="1" applyFill="1" applyBorder="1" applyAlignment="1" applyProtection="1">
      <alignment horizontal="right"/>
    </xf>
    <xf numFmtId="165" fontId="4" fillId="4" borderId="7" xfId="18" quotePrefix="1" applyNumberFormat="1" applyFont="1" applyFill="1" applyBorder="1" applyAlignment="1" applyProtection="1">
      <alignment horizontal="left" indent="1"/>
    </xf>
    <xf numFmtId="0" fontId="4" fillId="4" borderId="0" xfId="13" applyFont="1" applyFill="1" applyBorder="1" applyAlignment="1" applyProtection="1">
      <alignment horizontal="left" indent="1"/>
    </xf>
    <xf numFmtId="197" fontId="4" fillId="4" borderId="0" xfId="13" applyNumberFormat="1" applyFont="1" applyFill="1" applyBorder="1" applyProtection="1">
      <alignment vertical="top"/>
    </xf>
    <xf numFmtId="0" fontId="4" fillId="4" borderId="3" xfId="13" applyFont="1" applyFill="1" applyBorder="1" applyProtection="1">
      <alignment vertical="top"/>
    </xf>
    <xf numFmtId="39" fontId="9" fillId="4" borderId="0" xfId="13" applyNumberFormat="1" applyFont="1" applyFill="1" applyBorder="1" applyAlignment="1" applyProtection="1">
      <alignment horizontal="right"/>
    </xf>
    <xf numFmtId="0" fontId="4" fillId="4" borderId="4" xfId="13" applyFont="1" applyFill="1" applyBorder="1" applyAlignment="1" applyProtection="1">
      <alignment horizontal="left"/>
    </xf>
    <xf numFmtId="9" fontId="9" fillId="4" borderId="4" xfId="13" applyNumberFormat="1" applyFont="1" applyFill="1" applyBorder="1" applyProtection="1">
      <alignment vertical="top"/>
    </xf>
    <xf numFmtId="0" fontId="4" fillId="4" borderId="7" xfId="13" applyFont="1" applyFill="1" applyBorder="1" applyProtection="1">
      <alignment vertical="top"/>
    </xf>
    <xf numFmtId="0" fontId="4" fillId="4" borderId="6" xfId="13" applyFont="1" applyFill="1" applyBorder="1" applyAlignment="1" applyProtection="1">
      <alignment horizontal="left"/>
    </xf>
    <xf numFmtId="167" fontId="4" fillId="4" borderId="7" xfId="13" quotePrefix="1" applyNumberFormat="1" applyFont="1" applyFill="1" applyBorder="1" applyAlignment="1" applyProtection="1">
      <alignment horizontal="right"/>
    </xf>
    <xf numFmtId="167" fontId="9" fillId="4" borderId="3" xfId="13" applyNumberFormat="1" applyFont="1" applyFill="1" applyBorder="1" applyAlignment="1" applyProtection="1">
      <alignment horizontal="right"/>
    </xf>
    <xf numFmtId="0" fontId="4" fillId="4" borderId="2" xfId="13" applyFont="1" applyFill="1" applyBorder="1" applyAlignment="1" applyProtection="1">
      <alignment vertical="center"/>
    </xf>
    <xf numFmtId="0" fontId="4" fillId="4" borderId="2" xfId="13" applyFont="1" applyFill="1" applyBorder="1" applyAlignment="1">
      <alignment horizontal="centerContinuous"/>
    </xf>
    <xf numFmtId="0" fontId="4" fillId="4" borderId="8" xfId="13" applyFont="1" applyFill="1" applyBorder="1" applyAlignment="1">
      <alignment horizontal="centerContinuous"/>
    </xf>
    <xf numFmtId="0" fontId="10" fillId="4" borderId="0" xfId="13" applyFont="1" applyFill="1" applyBorder="1" applyAlignment="1"/>
    <xf numFmtId="0" fontId="10" fillId="4" borderId="0" xfId="13" applyFont="1" applyFill="1" applyBorder="1" applyAlignment="1">
      <alignment horizontal="centerContinuous"/>
    </xf>
    <xf numFmtId="0" fontId="10" fillId="4" borderId="3" xfId="13" applyFont="1" applyFill="1" applyBorder="1" applyAlignment="1">
      <alignment horizontal="center"/>
    </xf>
    <xf numFmtId="0" fontId="10" fillId="4" borderId="5" xfId="13" applyFont="1" applyFill="1" applyBorder="1" applyProtection="1">
      <alignment vertical="top"/>
    </xf>
    <xf numFmtId="0" fontId="4" fillId="4" borderId="8" xfId="13" applyFont="1" applyFill="1" applyBorder="1" applyProtection="1">
      <alignment vertical="top"/>
    </xf>
    <xf numFmtId="197" fontId="0" fillId="4" borderId="0" xfId="6" applyNumberFormat="1" applyFont="1" applyFill="1" applyAlignment="1">
      <alignment horizontal="center"/>
    </xf>
    <xf numFmtId="10" fontId="4" fillId="4" borderId="3" xfId="6" applyNumberFormat="1" applyFont="1" applyFill="1" applyBorder="1" applyAlignment="1">
      <alignment horizontal="centerContinuous"/>
    </xf>
    <xf numFmtId="0" fontId="4" fillId="4" borderId="0" xfId="13" applyFont="1" applyFill="1" applyAlignment="1">
      <alignment horizontal="left"/>
    </xf>
    <xf numFmtId="0" fontId="4" fillId="4" borderId="9" xfId="13" applyFont="1" applyFill="1" applyBorder="1" applyAlignment="1" applyProtection="1">
      <alignment horizontal="left"/>
    </xf>
    <xf numFmtId="0" fontId="4" fillId="4" borderId="0" xfId="13" applyFont="1" applyFill="1" applyBorder="1" applyAlignment="1">
      <alignment horizontal="left"/>
    </xf>
    <xf numFmtId="167" fontId="4" fillId="4" borderId="3" xfId="13" applyNumberFormat="1" applyFont="1" applyFill="1" applyBorder="1" applyAlignment="1" applyProtection="1">
      <alignment horizontal="right"/>
    </xf>
    <xf numFmtId="167" fontId="4" fillId="4" borderId="0" xfId="8" quotePrefix="1" applyNumberFormat="1" applyFont="1" applyFill="1" applyBorder="1" applyAlignment="1">
      <alignment horizontal="centerContinuous"/>
    </xf>
    <xf numFmtId="167" fontId="4" fillId="4" borderId="3" xfId="6" applyNumberFormat="1" applyFont="1" applyFill="1" applyBorder="1" applyAlignment="1">
      <alignment horizontal="centerContinuous"/>
    </xf>
    <xf numFmtId="173" fontId="4" fillId="4" borderId="9" xfId="13" applyNumberFormat="1" applyFont="1" applyFill="1" applyBorder="1" applyAlignment="1" applyProtection="1">
      <alignment horizontal="left"/>
    </xf>
    <xf numFmtId="167" fontId="2" fillId="4" borderId="0" xfId="6" quotePrefix="1" applyNumberFormat="1" applyFont="1" applyFill="1" applyAlignment="1">
      <alignment horizontal="center" vertical="top"/>
    </xf>
    <xf numFmtId="167" fontId="67" fillId="4" borderId="0" xfId="6" applyNumberFormat="1" applyFont="1" applyFill="1" applyAlignment="1">
      <alignment horizontal="center" vertical="top"/>
    </xf>
    <xf numFmtId="167" fontId="10" fillId="4" borderId="3" xfId="6" applyNumberFormat="1" applyFont="1" applyFill="1" applyBorder="1" applyAlignment="1">
      <alignment horizontal="centerContinuous"/>
    </xf>
    <xf numFmtId="197" fontId="2" fillId="4" borderId="0" xfId="6" quotePrefix="1" applyNumberFormat="1" applyFont="1" applyFill="1" applyAlignment="1">
      <alignment horizontal="center" vertical="top"/>
    </xf>
    <xf numFmtId="197" fontId="0" fillId="4" borderId="0" xfId="0" applyNumberFormat="1" applyFill="1" applyAlignment="1">
      <alignment horizontal="center"/>
    </xf>
    <xf numFmtId="0" fontId="4" fillId="4" borderId="9" xfId="13" applyFont="1" applyFill="1" applyBorder="1" applyAlignment="1" applyProtection="1">
      <alignment horizontal="left" vertical="top" indent="1"/>
    </xf>
    <xf numFmtId="10" fontId="4" fillId="4" borderId="3" xfId="13" applyNumberFormat="1" applyFont="1" applyFill="1" applyBorder="1" applyAlignment="1"/>
    <xf numFmtId="0" fontId="4" fillId="4" borderId="6" xfId="13" applyFont="1" applyFill="1" applyBorder="1" applyAlignment="1" applyProtection="1">
      <alignment horizontal="left" vertical="top" indent="1"/>
    </xf>
    <xf numFmtId="10" fontId="4" fillId="4" borderId="7" xfId="13" applyNumberFormat="1" applyFont="1" applyFill="1" applyBorder="1" applyAlignment="1"/>
    <xf numFmtId="167" fontId="53" fillId="4" borderId="0" xfId="6" quotePrefix="1" applyNumberFormat="1" applyFont="1" applyFill="1" applyAlignment="1">
      <alignment horizontal="center" vertical="top"/>
    </xf>
    <xf numFmtId="167" fontId="6" fillId="4" borderId="3" xfId="6" applyNumberFormat="1" applyFont="1" applyFill="1" applyBorder="1" applyAlignment="1">
      <alignment horizontal="centerContinuous"/>
    </xf>
    <xf numFmtId="0" fontId="10" fillId="4" borderId="0" xfId="13" applyFont="1" applyFill="1" applyBorder="1" applyProtection="1">
      <alignment vertical="top"/>
    </xf>
    <xf numFmtId="0" fontId="4" fillId="4" borderId="0" xfId="13" quotePrefix="1" applyFont="1" applyFill="1" applyBorder="1" applyProtection="1">
      <alignment vertical="top"/>
    </xf>
    <xf numFmtId="174" fontId="9" fillId="4" borderId="0" xfId="13" applyNumberFormat="1" applyFont="1" applyFill="1" applyBorder="1" applyAlignment="1" applyProtection="1">
      <alignment vertical="center"/>
    </xf>
    <xf numFmtId="0" fontId="4" fillId="4" borderId="8" xfId="13" applyFont="1" applyFill="1" applyBorder="1" applyAlignment="1"/>
    <xf numFmtId="0" fontId="10" fillId="4" borderId="0" xfId="13" applyFont="1" applyFill="1" applyBorder="1" applyAlignment="1" applyProtection="1">
      <alignment vertical="center"/>
    </xf>
    <xf numFmtId="0" fontId="4" fillId="4" borderId="0" xfId="13" quotePrefix="1" applyFont="1" applyFill="1" applyBorder="1" applyAlignment="1" applyProtection="1">
      <alignment horizontal="left"/>
    </xf>
    <xf numFmtId="0" fontId="10" fillId="4" borderId="3" xfId="13" applyFont="1" applyFill="1" applyBorder="1" applyAlignment="1">
      <alignment horizontal="centerContinuous"/>
    </xf>
    <xf numFmtId="0" fontId="4" fillId="4" borderId="0" xfId="13" applyFont="1" applyFill="1" applyBorder="1" applyAlignment="1" applyProtection="1">
      <alignment vertical="center"/>
    </xf>
    <xf numFmtId="167" fontId="3" fillId="4" borderId="0" xfId="6" applyNumberFormat="1" applyFont="1" applyFill="1" applyBorder="1" applyAlignment="1">
      <alignment horizontal="center" vertical="top"/>
    </xf>
    <xf numFmtId="167" fontId="4" fillId="4" borderId="3" xfId="6" applyNumberFormat="1" applyFont="1" applyFill="1" applyBorder="1" applyAlignment="1">
      <alignment horizontal="center"/>
    </xf>
    <xf numFmtId="167" fontId="3" fillId="4" borderId="3" xfId="6" applyNumberFormat="1" applyFont="1" applyFill="1" applyBorder="1" applyAlignment="1">
      <alignment horizontal="center" vertical="top"/>
    </xf>
    <xf numFmtId="0" fontId="3" fillId="4" borderId="3" xfId="13" applyFont="1" applyFill="1" applyBorder="1" applyAlignment="1"/>
    <xf numFmtId="10" fontId="4" fillId="4" borderId="0" xfId="6" applyNumberFormat="1" applyFont="1" applyFill="1" applyBorder="1" applyAlignment="1">
      <alignment horizontal="center"/>
    </xf>
    <xf numFmtId="10" fontId="4" fillId="4" borderId="0" xfId="13" applyNumberFormat="1" applyFont="1" applyFill="1" applyBorder="1" applyAlignment="1">
      <alignment horizontal="center"/>
    </xf>
    <xf numFmtId="10" fontId="4" fillId="4" borderId="3" xfId="13" applyNumberFormat="1" applyFont="1" applyFill="1" applyBorder="1" applyAlignment="1">
      <alignment horizontal="center"/>
    </xf>
    <xf numFmtId="10" fontId="3" fillId="4" borderId="3" xfId="13" applyNumberFormat="1" applyFont="1" applyFill="1" applyBorder="1" applyAlignment="1">
      <alignment horizontal="center"/>
    </xf>
    <xf numFmtId="0" fontId="3" fillId="4" borderId="0" xfId="13" applyFont="1" applyFill="1" applyBorder="1" applyAlignment="1"/>
    <xf numFmtId="171" fontId="9" fillId="4" borderId="0" xfId="13" applyNumberFormat="1" applyFont="1" applyFill="1" applyBorder="1" applyAlignment="1"/>
    <xf numFmtId="0" fontId="4" fillId="4" borderId="3" xfId="13" applyFont="1" applyFill="1" applyBorder="1" applyAlignment="1" applyProtection="1">
      <alignment horizontal="justify" wrapText="1"/>
    </xf>
    <xf numFmtId="172" fontId="4" fillId="4" borderId="0" xfId="13" applyNumberFormat="1" applyFont="1" applyFill="1" applyBorder="1" applyAlignment="1"/>
    <xf numFmtId="0" fontId="4" fillId="4" borderId="13" xfId="13" applyFont="1" applyFill="1" applyBorder="1" applyAlignment="1"/>
    <xf numFmtId="0" fontId="5" fillId="4" borderId="10" xfId="13" applyFont="1" applyFill="1" applyBorder="1" applyAlignment="1"/>
    <xf numFmtId="0" fontId="5" fillId="4" borderId="14" xfId="13" applyFont="1" applyFill="1" applyBorder="1" applyAlignment="1"/>
    <xf numFmtId="0" fontId="4" fillId="4" borderId="5" xfId="13" applyFont="1" applyFill="1" applyBorder="1" applyAlignment="1"/>
    <xf numFmtId="0" fontId="4" fillId="4" borderId="9" xfId="13" applyFont="1" applyFill="1" applyBorder="1" applyAlignment="1">
      <alignment horizontal="left"/>
    </xf>
    <xf numFmtId="2" fontId="4" fillId="4" borderId="3" xfId="13" applyNumberFormat="1" applyFont="1" applyFill="1" applyBorder="1" applyAlignment="1">
      <alignment horizontal="right"/>
    </xf>
    <xf numFmtId="0" fontId="4" fillId="4" borderId="6" xfId="13" applyFont="1" applyFill="1" applyBorder="1" applyAlignment="1"/>
    <xf numFmtId="172" fontId="4" fillId="4" borderId="4" xfId="13" applyNumberFormat="1" applyFont="1" applyFill="1" applyBorder="1" applyAlignment="1"/>
    <xf numFmtId="172" fontId="6" fillId="4" borderId="7" xfId="13" applyNumberFormat="1" applyFont="1" applyFill="1" applyBorder="1" applyAlignment="1"/>
    <xf numFmtId="0" fontId="0" fillId="4" borderId="0" xfId="0" applyFill="1" applyBorder="1"/>
    <xf numFmtId="173" fontId="4" fillId="4" borderId="0" xfId="13" applyNumberFormat="1" applyFont="1" applyFill="1" applyBorder="1" applyAlignment="1" applyProtection="1">
      <alignment horizontal="left"/>
    </xf>
    <xf numFmtId="167" fontId="4" fillId="4" borderId="0" xfId="13" applyNumberFormat="1" applyFont="1" applyFill="1" applyBorder="1" applyAlignment="1" applyProtection="1">
      <alignment horizontal="right"/>
    </xf>
    <xf numFmtId="0" fontId="4" fillId="4" borderId="0" xfId="13" applyFont="1" applyFill="1" applyBorder="1" applyAlignment="1" applyProtection="1">
      <alignment horizontal="left" vertical="top" indent="1"/>
    </xf>
    <xf numFmtId="173" fontId="4" fillId="4" borderId="5" xfId="13" applyNumberFormat="1" applyFont="1" applyFill="1" applyBorder="1" applyAlignment="1" applyProtection="1">
      <alignment horizontal="left"/>
    </xf>
    <xf numFmtId="167" fontId="4" fillId="4" borderId="8" xfId="13" applyNumberFormat="1" applyFont="1" applyFill="1" applyBorder="1" applyAlignment="1" applyProtection="1">
      <alignment horizontal="right"/>
    </xf>
    <xf numFmtId="0" fontId="4" fillId="4" borderId="0" xfId="13" quotePrefix="1" applyFont="1" applyFill="1" applyBorder="1" applyAlignment="1">
      <alignment horizontal="centerContinuous" vertical="justify"/>
    </xf>
    <xf numFmtId="0" fontId="4" fillId="4" borderId="3" xfId="13" applyFont="1" applyFill="1" applyBorder="1" applyAlignment="1">
      <alignment horizontal="centerContinuous"/>
    </xf>
    <xf numFmtId="0" fontId="66" fillId="4" borderId="0" xfId="0" applyFont="1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54" fillId="4" borderId="0" xfId="0" applyFont="1" applyFill="1" applyBorder="1" applyAlignment="1">
      <alignment horizontal="center"/>
    </xf>
    <xf numFmtId="0" fontId="4" fillId="4" borderId="5" xfId="13" applyFont="1" applyFill="1" applyBorder="1" applyAlignment="1">
      <alignment horizontal="left"/>
    </xf>
    <xf numFmtId="0" fontId="0" fillId="4" borderId="9" xfId="0" applyFill="1" applyBorder="1"/>
    <xf numFmtId="0" fontId="66" fillId="4" borderId="3" xfId="0" applyFont="1" applyFill="1" applyBorder="1" applyAlignment="1">
      <alignment horizontal="center"/>
    </xf>
    <xf numFmtId="0" fontId="66" fillId="4" borderId="9" xfId="0" applyFont="1" applyFill="1" applyBorder="1"/>
    <xf numFmtId="0" fontId="0" fillId="4" borderId="3" xfId="0" applyFill="1" applyBorder="1" applyAlignment="1">
      <alignment horizontal="center"/>
    </xf>
    <xf numFmtId="0" fontId="54" fillId="4" borderId="9" xfId="0" applyFont="1" applyFill="1" applyBorder="1"/>
    <xf numFmtId="0" fontId="54" fillId="4" borderId="3" xfId="0" applyFont="1" applyFill="1" applyBorder="1" applyAlignment="1">
      <alignment horizontal="center" vertical="center"/>
    </xf>
    <xf numFmtId="0" fontId="54" fillId="4" borderId="3" xfId="0" applyFont="1" applyFill="1" applyBorder="1" applyAlignment="1">
      <alignment horizontal="center"/>
    </xf>
    <xf numFmtId="0" fontId="0" fillId="4" borderId="3" xfId="0" applyFill="1" applyBorder="1"/>
    <xf numFmtId="0" fontId="0" fillId="4" borderId="6" xfId="0" applyFill="1" applyBorder="1"/>
    <xf numFmtId="0" fontId="0" fillId="4" borderId="4" xfId="0" applyFill="1" applyBorder="1"/>
    <xf numFmtId="0" fontId="0" fillId="4" borderId="7" xfId="0" applyFill="1" applyBorder="1"/>
    <xf numFmtId="0" fontId="4" fillId="7" borderId="13" xfId="13" applyFont="1" applyFill="1" applyBorder="1" applyAlignment="1" applyProtection="1">
      <alignment vertical="center"/>
    </xf>
    <xf numFmtId="0" fontId="4" fillId="7" borderId="10" xfId="13" quotePrefix="1" applyFont="1" applyFill="1" applyBorder="1" applyAlignment="1" applyProtection="1">
      <alignment horizontal="left"/>
    </xf>
    <xf numFmtId="0" fontId="10" fillId="7" borderId="10" xfId="13" applyFont="1" applyFill="1" applyBorder="1" applyProtection="1">
      <alignment vertical="top"/>
    </xf>
    <xf numFmtId="0" fontId="4" fillId="7" borderId="14" xfId="13" applyFont="1" applyFill="1" applyBorder="1" applyAlignment="1"/>
    <xf numFmtId="0" fontId="44" fillId="4" borderId="0" xfId="13" applyFont="1" applyFill="1" applyAlignment="1"/>
    <xf numFmtId="0" fontId="50" fillId="4" borderId="0" xfId="13" applyFont="1" applyFill="1" applyAlignment="1">
      <alignment horizontal="center"/>
    </xf>
    <xf numFmtId="0" fontId="44" fillId="4" borderId="0" xfId="13" applyFont="1" applyFill="1" applyAlignment="1">
      <alignment horizontal="center"/>
    </xf>
    <xf numFmtId="0" fontId="44" fillId="4" borderId="1" xfId="13" applyFont="1" applyFill="1" applyBorder="1" applyAlignment="1"/>
    <xf numFmtId="0" fontId="46" fillId="4" borderId="1" xfId="13" applyFont="1" applyFill="1" applyBorder="1" applyAlignment="1">
      <alignment horizontal="center"/>
    </xf>
    <xf numFmtId="0" fontId="46" fillId="4" borderId="22" xfId="13" applyFont="1" applyFill="1" applyBorder="1" applyAlignment="1">
      <alignment horizontal="center" wrapText="1"/>
    </xf>
    <xf numFmtId="0" fontId="44" fillId="4" borderId="0" xfId="13" applyFont="1" applyFill="1" applyBorder="1" applyAlignment="1"/>
    <xf numFmtId="0" fontId="49" fillId="4" borderId="0" xfId="13" applyFont="1" applyFill="1" applyAlignment="1"/>
    <xf numFmtId="0" fontId="44" fillId="4" borderId="19" xfId="13" applyFont="1" applyFill="1" applyBorder="1" applyAlignment="1">
      <alignment horizontal="center"/>
    </xf>
    <xf numFmtId="0" fontId="44" fillId="4" borderId="15" xfId="13" applyFont="1" applyFill="1" applyBorder="1" applyAlignment="1">
      <alignment horizontal="center"/>
    </xf>
    <xf numFmtId="0" fontId="46" fillId="4" borderId="0" xfId="13" applyFont="1" applyFill="1" applyAlignment="1">
      <alignment horizontal="center"/>
    </xf>
    <xf numFmtId="0" fontId="46" fillId="4" borderId="0" xfId="13" applyFont="1" applyFill="1" applyAlignment="1"/>
    <xf numFmtId="3" fontId="44" fillId="4" borderId="0" xfId="13" applyNumberFormat="1" applyFont="1" applyFill="1" applyAlignment="1"/>
    <xf numFmtId="3" fontId="44" fillId="4" borderId="15" xfId="13" applyNumberFormat="1" applyFont="1" applyFill="1" applyBorder="1" applyAlignment="1">
      <alignment horizontal="center"/>
    </xf>
    <xf numFmtId="0" fontId="51" fillId="4" borderId="0" xfId="13" applyFont="1" applyFill="1" applyAlignment="1">
      <alignment horizontal="left" indent="1"/>
    </xf>
    <xf numFmtId="40" fontId="44" fillId="4" borderId="0" xfId="13" applyNumberFormat="1" applyFont="1" applyFill="1" applyAlignment="1"/>
    <xf numFmtId="2" fontId="44" fillId="4" borderId="0" xfId="13" applyNumberFormat="1" applyFont="1" applyFill="1" applyAlignment="1"/>
    <xf numFmtId="0" fontId="44" fillId="4" borderId="0" xfId="13" applyFont="1" applyFill="1" applyAlignment="1">
      <alignment horizontal="left" indent="1"/>
    </xf>
    <xf numFmtId="2" fontId="44" fillId="4" borderId="15" xfId="8" applyNumberFormat="1" applyFont="1" applyFill="1" applyBorder="1" applyAlignment="1">
      <alignment horizontal="center"/>
    </xf>
    <xf numFmtId="2" fontId="44" fillId="4" borderId="0" xfId="13" applyNumberFormat="1" applyFont="1" applyFill="1" applyBorder="1" applyAlignment="1"/>
    <xf numFmtId="2" fontId="44" fillId="4" borderId="0" xfId="13" applyNumberFormat="1" applyFont="1" applyFill="1" applyBorder="1" applyAlignment="1">
      <alignment horizontal="right"/>
    </xf>
    <xf numFmtId="40" fontId="44" fillId="4" borderId="0" xfId="13" applyNumberFormat="1" applyFont="1" applyFill="1" applyBorder="1" applyAlignment="1"/>
    <xf numFmtId="2" fontId="44" fillId="4" borderId="0" xfId="13" applyNumberFormat="1" applyFont="1" applyFill="1" applyBorder="1" applyAlignment="1">
      <alignment horizontal="center"/>
    </xf>
    <xf numFmtId="2" fontId="44" fillId="4" borderId="0" xfId="13" applyNumberFormat="1" applyFont="1" applyFill="1" applyBorder="1" applyAlignment="1">
      <alignment horizontal="center" vertical="center"/>
    </xf>
    <xf numFmtId="40" fontId="44" fillId="4" borderId="4" xfId="13" applyNumberFormat="1" applyFont="1" applyFill="1" applyBorder="1" applyAlignment="1"/>
    <xf numFmtId="2" fontId="44" fillId="4" borderId="16" xfId="8" applyNumberFormat="1" applyFont="1" applyFill="1" applyBorder="1" applyAlignment="1">
      <alignment horizontal="center"/>
    </xf>
    <xf numFmtId="2" fontId="44" fillId="4" borderId="4" xfId="13" applyNumberFormat="1" applyFont="1" applyFill="1" applyBorder="1" applyAlignment="1"/>
    <xf numFmtId="0" fontId="46" fillId="4" borderId="0" xfId="13" applyFont="1" applyFill="1" applyAlignment="1">
      <alignment horizontal="left"/>
    </xf>
    <xf numFmtId="0" fontId="44" fillId="4" borderId="0" xfId="13" applyFont="1" applyFill="1" applyAlignment="1">
      <alignment horizontal="center" vertical="center" wrapText="1"/>
    </xf>
    <xf numFmtId="40" fontId="44" fillId="4" borderId="4" xfId="13" applyNumberFormat="1" applyFont="1" applyFill="1" applyBorder="1" applyAlignment="1">
      <alignment vertical="center"/>
    </xf>
    <xf numFmtId="2" fontId="44" fillId="4" borderId="16" xfId="8" applyNumberFormat="1" applyFont="1" applyFill="1" applyBorder="1" applyAlignment="1">
      <alignment horizontal="center" vertical="center"/>
    </xf>
    <xf numFmtId="2" fontId="44" fillId="4" borderId="19" xfId="8" applyNumberFormat="1" applyFont="1" applyFill="1" applyBorder="1" applyAlignment="1">
      <alignment horizontal="center"/>
    </xf>
    <xf numFmtId="0" fontId="45" fillId="4" borderId="0" xfId="13" applyFont="1" applyFill="1" applyAlignment="1"/>
    <xf numFmtId="40" fontId="46" fillId="4" borderId="17" xfId="13" applyNumberFormat="1" applyFont="1" applyFill="1" applyBorder="1" applyAlignment="1"/>
    <xf numFmtId="2" fontId="46" fillId="4" borderId="28" xfId="8" applyNumberFormat="1" applyFont="1" applyFill="1" applyBorder="1" applyAlignment="1">
      <alignment horizontal="center"/>
    </xf>
    <xf numFmtId="0" fontId="50" fillId="4" borderId="15" xfId="13" applyFont="1" applyFill="1" applyBorder="1" applyAlignment="1">
      <alignment horizontal="center"/>
    </xf>
    <xf numFmtId="0" fontId="50" fillId="4" borderId="0" xfId="13" applyFont="1" applyFill="1" applyBorder="1" applyAlignment="1">
      <alignment horizontal="center"/>
    </xf>
    <xf numFmtId="0" fontId="49" fillId="4" borderId="1" xfId="13" applyFont="1" applyFill="1" applyBorder="1" applyAlignment="1">
      <alignment horizontal="center"/>
    </xf>
    <xf numFmtId="0" fontId="49" fillId="4" borderId="16" xfId="13" applyFont="1" applyFill="1" applyBorder="1" applyAlignment="1">
      <alignment horizontal="center"/>
    </xf>
    <xf numFmtId="0" fontId="49" fillId="4" borderId="0" xfId="13" applyFont="1" applyFill="1" applyBorder="1" applyAlignment="1">
      <alignment horizontal="center"/>
    </xf>
    <xf numFmtId="0" fontId="48" fillId="4" borderId="0" xfId="13" applyFont="1" applyFill="1" applyAlignment="1">
      <alignment horizontal="left"/>
    </xf>
    <xf numFmtId="0" fontId="19" fillId="4" borderId="9" xfId="13" applyFont="1" applyFill="1" applyBorder="1" applyAlignment="1"/>
    <xf numFmtId="0" fontId="20" fillId="4" borderId="9" xfId="13" applyFont="1" applyFill="1" applyBorder="1" applyAlignment="1">
      <alignment horizontal="left" indent="1"/>
    </xf>
    <xf numFmtId="0" fontId="47" fillId="4" borderId="0" xfId="13" applyFont="1" applyFill="1" applyAlignment="1">
      <alignment horizontal="left" indent="1"/>
    </xf>
    <xf numFmtId="0" fontId="4" fillId="4" borderId="9" xfId="13" applyFont="1" applyFill="1" applyBorder="1" applyAlignment="1">
      <alignment horizontal="left" indent="2"/>
    </xf>
    <xf numFmtId="0" fontId="44" fillId="4" borderId="0" xfId="13" applyFont="1" applyFill="1" applyAlignment="1">
      <alignment horizontal="left" indent="2"/>
    </xf>
    <xf numFmtId="190" fontId="44" fillId="4" borderId="0" xfId="13" applyNumberFormat="1" applyFont="1" applyFill="1" applyAlignment="1">
      <alignment horizontal="center"/>
    </xf>
    <xf numFmtId="190" fontId="44" fillId="4" borderId="0" xfId="13" applyNumberFormat="1" applyFont="1" applyFill="1" applyAlignment="1"/>
    <xf numFmtId="190" fontId="44" fillId="4" borderId="0" xfId="13" applyNumberFormat="1" applyFont="1" applyFill="1" applyBorder="1" applyAlignment="1">
      <alignment horizontal="center"/>
    </xf>
    <xf numFmtId="2" fontId="44" fillId="4" borderId="2" xfId="13" applyNumberFormat="1" applyFont="1" applyFill="1" applyBorder="1" applyAlignment="1"/>
    <xf numFmtId="0" fontId="44" fillId="4" borderId="0" xfId="13" applyFont="1" applyFill="1" applyAlignment="1">
      <alignment horizontal="left"/>
    </xf>
    <xf numFmtId="0" fontId="4" fillId="4" borderId="9" xfId="13" applyFont="1" applyFill="1" applyBorder="1" applyAlignment="1">
      <alignment horizontal="left" indent="1"/>
    </xf>
    <xf numFmtId="2" fontId="8" fillId="4" borderId="0" xfId="13" applyNumberFormat="1" applyFont="1" applyFill="1" applyBorder="1" applyAlignment="1"/>
    <xf numFmtId="2" fontId="46" fillId="4" borderId="10" xfId="13" applyNumberFormat="1" applyFont="1" applyFill="1" applyBorder="1" applyAlignment="1"/>
    <xf numFmtId="2" fontId="45" fillId="4" borderId="10" xfId="13" applyNumberFormat="1" applyFont="1" applyFill="1" applyBorder="1" applyAlignment="1"/>
    <xf numFmtId="2" fontId="4" fillId="4" borderId="0" xfId="13" applyNumberFormat="1" applyFont="1" applyFill="1" applyBorder="1" applyAlignment="1">
      <alignment horizontal="left" indent="2"/>
    </xf>
    <xf numFmtId="2" fontId="44" fillId="4" borderId="0" xfId="13" applyNumberFormat="1" applyFont="1" applyFill="1" applyAlignment="1">
      <alignment horizontal="right"/>
    </xf>
    <xf numFmtId="2" fontId="21" fillId="4" borderId="0" xfId="13" applyNumberFormat="1" applyFont="1" applyFill="1" applyBorder="1" applyAlignment="1">
      <alignment horizontal="left" indent="2"/>
    </xf>
    <xf numFmtId="0" fontId="4" fillId="4" borderId="0" xfId="13" applyFont="1" applyFill="1" applyBorder="1" applyAlignment="1">
      <alignment horizontal="left" indent="2"/>
    </xf>
    <xf numFmtId="2" fontId="44" fillId="4" borderId="0" xfId="13" applyNumberFormat="1" applyFont="1" applyFill="1" applyAlignment="1">
      <alignment horizontal="center" vertical="center"/>
    </xf>
    <xf numFmtId="2" fontId="44" fillId="4" borderId="10" xfId="13" applyNumberFormat="1" applyFont="1" applyFill="1" applyBorder="1" applyAlignment="1"/>
    <xf numFmtId="0" fontId="44" fillId="4" borderId="0" xfId="13" applyFont="1" applyFill="1" applyBorder="1" applyAlignment="1">
      <alignment horizontal="left" indent="1"/>
    </xf>
    <xf numFmtId="191" fontId="44" fillId="4" borderId="0" xfId="13" applyNumberFormat="1" applyFont="1" applyFill="1" applyBorder="1" applyAlignment="1">
      <alignment horizontal="right"/>
    </xf>
    <xf numFmtId="191" fontId="44" fillId="4" borderId="4" xfId="13" applyNumberFormat="1" applyFont="1" applyFill="1" applyBorder="1" applyAlignment="1">
      <alignment horizontal="right"/>
    </xf>
    <xf numFmtId="2" fontId="46" fillId="4" borderId="17" xfId="13" applyNumberFormat="1" applyFont="1" applyFill="1" applyBorder="1" applyAlignment="1"/>
    <xf numFmtId="0" fontId="44" fillId="7" borderId="0" xfId="13" applyFont="1" applyFill="1" applyAlignment="1"/>
    <xf numFmtId="0" fontId="44" fillId="7" borderId="0" xfId="13" applyFont="1" applyFill="1" applyAlignment="1">
      <alignment horizontal="center"/>
    </xf>
    <xf numFmtId="0" fontId="50" fillId="7" borderId="0" xfId="13" applyFont="1" applyFill="1" applyAlignment="1">
      <alignment horizontal="center"/>
    </xf>
    <xf numFmtId="0" fontId="48" fillId="7" borderId="0" xfId="13" applyFont="1" applyFill="1" applyAlignment="1">
      <alignment horizontal="center"/>
    </xf>
    <xf numFmtId="0" fontId="4" fillId="4" borderId="0" xfId="12" applyFont="1" applyFill="1" applyBorder="1" applyAlignment="1"/>
    <xf numFmtId="0" fontId="4" fillId="4" borderId="0" xfId="4" applyFont="1" applyFill="1" applyBorder="1"/>
    <xf numFmtId="0" fontId="4" fillId="4" borderId="5" xfId="4" applyFont="1" applyFill="1" applyBorder="1"/>
    <xf numFmtId="0" fontId="4" fillId="4" borderId="2" xfId="4" applyFont="1" applyFill="1" applyBorder="1"/>
    <xf numFmtId="0" fontId="4" fillId="4" borderId="8" xfId="4" applyFont="1" applyFill="1" applyBorder="1"/>
    <xf numFmtId="0" fontId="4" fillId="4" borderId="9" xfId="4" applyFont="1" applyFill="1" applyBorder="1"/>
    <xf numFmtId="0" fontId="4" fillId="4" borderId="3" xfId="4" applyFont="1" applyFill="1" applyBorder="1"/>
    <xf numFmtId="179" fontId="30" fillId="4" borderId="0" xfId="4" applyNumberFormat="1" applyFont="1" applyFill="1" applyBorder="1" applyAlignment="1">
      <alignment horizontal="left"/>
    </xf>
    <xf numFmtId="0" fontId="31" fillId="4" borderId="0" xfId="4" applyFont="1" applyFill="1" applyBorder="1"/>
    <xf numFmtId="0" fontId="7" fillId="4" borderId="0" xfId="4" applyFont="1" applyFill="1" applyBorder="1"/>
    <xf numFmtId="0" fontId="30" fillId="4" borderId="0" xfId="4" applyFont="1" applyFill="1" applyBorder="1"/>
    <xf numFmtId="0" fontId="4" fillId="4" borderId="9" xfId="12" applyFont="1" applyFill="1" applyBorder="1" applyAlignment="1"/>
    <xf numFmtId="0" fontId="4" fillId="4" borderId="3" xfId="12" applyFont="1" applyFill="1" applyBorder="1" applyAlignment="1"/>
    <xf numFmtId="0" fontId="4" fillId="4" borderId="6" xfId="12" applyFont="1" applyFill="1" applyBorder="1" applyAlignment="1"/>
    <xf numFmtId="0" fontId="4" fillId="4" borderId="4" xfId="12" applyFont="1" applyFill="1" applyBorder="1" applyAlignment="1"/>
    <xf numFmtId="0" fontId="4" fillId="4" borderId="7" xfId="12" applyFont="1" applyFill="1" applyBorder="1" applyAlignment="1"/>
    <xf numFmtId="0" fontId="71" fillId="7" borderId="9" xfId="4" applyFont="1" applyFill="1" applyBorder="1"/>
    <xf numFmtId="0" fontId="71" fillId="7" borderId="0" xfId="4" applyFont="1" applyFill="1" applyBorder="1"/>
    <xf numFmtId="0" fontId="71" fillId="7" borderId="3" xfId="4" applyFont="1" applyFill="1" applyBorder="1"/>
    <xf numFmtId="0" fontId="72" fillId="7" borderId="0" xfId="4" applyFont="1" applyFill="1" applyBorder="1"/>
    <xf numFmtId="2" fontId="4" fillId="4" borderId="0" xfId="12" applyNumberFormat="1" applyFont="1" applyFill="1" applyAlignment="1"/>
    <xf numFmtId="2" fontId="4" fillId="4" borderId="0" xfId="7" applyNumberFormat="1" applyFont="1" applyFill="1" applyBorder="1" applyAlignment="1"/>
    <xf numFmtId="2" fontId="7" fillId="4" borderId="0" xfId="12" applyNumberFormat="1" applyFont="1" applyFill="1" applyBorder="1" applyAlignment="1">
      <alignment horizontal="center"/>
    </xf>
    <xf numFmtId="2" fontId="4" fillId="4" borderId="0" xfId="12" applyNumberFormat="1" applyFont="1" applyFill="1" applyBorder="1" applyAlignment="1"/>
    <xf numFmtId="2" fontId="4" fillId="4" borderId="0" xfId="7" applyNumberFormat="1" applyFont="1" applyFill="1" applyBorder="1" applyAlignment="1">
      <alignment horizontal="centerContinuous"/>
    </xf>
    <xf numFmtId="2" fontId="7" fillId="4" borderId="0" xfId="12" applyNumberFormat="1" applyFont="1" applyFill="1" applyBorder="1" applyAlignment="1">
      <alignment horizontal="centerContinuous"/>
    </xf>
    <xf numFmtId="2" fontId="4" fillId="4" borderId="0" xfId="12" applyNumberFormat="1" applyFont="1" applyFill="1" applyBorder="1" applyAlignment="1">
      <alignment horizontal="centerContinuous"/>
    </xf>
    <xf numFmtId="2" fontId="5" fillId="4" borderId="0" xfId="12" applyNumberFormat="1" applyFont="1" applyFill="1" applyAlignment="1">
      <alignment horizontal="left"/>
    </xf>
    <xf numFmtId="2" fontId="29" fillId="4" borderId="0" xfId="7" applyNumberFormat="1" applyFont="1" applyFill="1" applyAlignment="1">
      <alignment horizontal="center"/>
    </xf>
    <xf numFmtId="2" fontId="29" fillId="4" borderId="0" xfId="12" applyNumberFormat="1" applyFont="1" applyFill="1" applyAlignment="1">
      <alignment horizontal="center"/>
    </xf>
    <xf numFmtId="2" fontId="4" fillId="4" borderId="2" xfId="12" applyNumberFormat="1" applyFont="1" applyFill="1" applyBorder="1" applyAlignment="1"/>
    <xf numFmtId="2" fontId="4" fillId="4" borderId="3" xfId="12" applyNumberFormat="1" applyFont="1" applyFill="1" applyBorder="1" applyAlignment="1"/>
    <xf numFmtId="2" fontId="29" fillId="4" borderId="0" xfId="12" applyNumberFormat="1" applyFont="1" applyFill="1" applyBorder="1" applyAlignment="1">
      <alignment horizontal="center"/>
    </xf>
    <xf numFmtId="2" fontId="4" fillId="4" borderId="1" xfId="12" applyNumberFormat="1" applyFont="1" applyFill="1" applyBorder="1" applyAlignment="1"/>
    <xf numFmtId="0" fontId="5" fillId="4" borderId="1" xfId="12" applyNumberFormat="1" applyFont="1" applyFill="1" applyBorder="1" applyAlignment="1">
      <alignment horizontal="right"/>
    </xf>
    <xf numFmtId="2" fontId="5" fillId="4" borderId="29" xfId="12" applyNumberFormat="1" applyFont="1" applyFill="1" applyBorder="1" applyAlignment="1">
      <alignment horizontal="right"/>
    </xf>
    <xf numFmtId="2" fontId="5" fillId="4" borderId="0" xfId="12" applyNumberFormat="1" applyFont="1" applyFill="1" applyBorder="1" applyAlignment="1">
      <alignment horizontal="right"/>
    </xf>
    <xf numFmtId="2" fontId="5" fillId="4" borderId="0" xfId="12" applyNumberFormat="1" applyFont="1" applyFill="1" applyBorder="1" applyAlignment="1">
      <alignment horizontal="center"/>
    </xf>
    <xf numFmtId="2" fontId="5" fillId="4" borderId="3" xfId="12" applyNumberFormat="1" applyFont="1" applyFill="1" applyBorder="1" applyAlignment="1">
      <alignment horizontal="center"/>
    </xf>
    <xf numFmtId="2" fontId="24" fillId="4" borderId="0" xfId="12" applyNumberFormat="1" applyFont="1" applyFill="1" applyBorder="1" applyAlignment="1">
      <alignment horizontal="center"/>
    </xf>
    <xf numFmtId="2" fontId="24" fillId="4" borderId="0" xfId="12" applyNumberFormat="1" applyFont="1" applyFill="1" applyAlignment="1"/>
    <xf numFmtId="2" fontId="4" fillId="4" borderId="7" xfId="12" applyNumberFormat="1" applyFont="1" applyFill="1" applyBorder="1" applyAlignment="1"/>
    <xf numFmtId="2" fontId="26" fillId="4" borderId="8" xfId="12" applyNumberFormat="1" applyFont="1" applyFill="1" applyBorder="1" applyAlignment="1"/>
    <xf numFmtId="2" fontId="5" fillId="4" borderId="3" xfId="12" applyNumberFormat="1" applyFont="1" applyFill="1" applyBorder="1" applyAlignment="1"/>
    <xf numFmtId="2" fontId="23" fillId="4" borderId="0" xfId="12" applyNumberFormat="1" applyFont="1" applyFill="1" applyBorder="1" applyAlignment="1"/>
    <xf numFmtId="2" fontId="23" fillId="4" borderId="3" xfId="12" applyNumberFormat="1" applyFont="1" applyFill="1" applyBorder="1" applyAlignment="1"/>
    <xf numFmtId="2" fontId="4" fillId="4" borderId="3" xfId="12" applyNumberFormat="1" applyFont="1" applyFill="1" applyBorder="1" applyAlignment="1">
      <alignment horizontal="left" indent="1"/>
    </xf>
    <xf numFmtId="2" fontId="4" fillId="4" borderId="7" xfId="12" applyNumberFormat="1" applyFont="1" applyFill="1" applyBorder="1" applyAlignment="1">
      <alignment horizontal="left" indent="1"/>
    </xf>
    <xf numFmtId="2" fontId="4" fillId="4" borderId="4" xfId="12" applyNumberFormat="1" applyFont="1" applyFill="1" applyBorder="1" applyAlignment="1"/>
    <xf numFmtId="2" fontId="5" fillId="4" borderId="3" xfId="12" applyNumberFormat="1" applyFont="1" applyFill="1" applyBorder="1" applyAlignment="1">
      <alignment horizontal="left" indent="1"/>
    </xf>
    <xf numFmtId="2" fontId="5" fillId="4" borderId="0" xfId="12" applyNumberFormat="1" applyFont="1" applyFill="1" applyBorder="1" applyAlignment="1"/>
    <xf numFmtId="2" fontId="8" fillId="4" borderId="0" xfId="12" applyNumberFormat="1" applyFont="1" applyFill="1" applyBorder="1" applyAlignment="1"/>
    <xf numFmtId="2" fontId="8" fillId="4" borderId="3" xfId="12" applyNumberFormat="1" applyFont="1" applyFill="1" applyBorder="1" applyAlignment="1"/>
    <xf numFmtId="2" fontId="8" fillId="4" borderId="7" xfId="12" applyNumberFormat="1" applyFont="1" applyFill="1" applyBorder="1" applyAlignment="1">
      <alignment horizontal="left" indent="1"/>
    </xf>
    <xf numFmtId="2" fontId="8" fillId="4" borderId="6" xfId="12" applyNumberFormat="1" applyFont="1" applyFill="1" applyBorder="1" applyAlignment="1"/>
    <xf numFmtId="2" fontId="8" fillId="4" borderId="4" xfId="12" applyNumberFormat="1" applyFont="1" applyFill="1" applyBorder="1" applyAlignment="1"/>
    <xf numFmtId="2" fontId="8" fillId="4" borderId="7" xfId="12" applyNumberFormat="1" applyFont="1" applyFill="1" applyBorder="1" applyAlignment="1"/>
    <xf numFmtId="2" fontId="28" fillId="4" borderId="0" xfId="12" applyNumberFormat="1" applyFont="1" applyFill="1" applyBorder="1" applyAlignment="1"/>
    <xf numFmtId="2" fontId="8" fillId="4" borderId="14" xfId="12" applyNumberFormat="1" applyFont="1" applyFill="1" applyBorder="1" applyAlignment="1"/>
    <xf numFmtId="2" fontId="8" fillId="4" borderId="0" xfId="12" applyNumberFormat="1" applyFont="1" applyFill="1" applyAlignment="1"/>
    <xf numFmtId="2" fontId="4" fillId="4" borderId="3" xfId="12" applyNumberFormat="1" applyFont="1" applyFill="1" applyBorder="1" applyAlignment="1">
      <alignment horizontal="left"/>
    </xf>
    <xf numFmtId="2" fontId="4" fillId="4" borderId="7" xfId="12" applyNumberFormat="1" applyFont="1" applyFill="1" applyBorder="1" applyAlignment="1">
      <alignment horizontal="left"/>
    </xf>
    <xf numFmtId="2" fontId="5" fillId="4" borderId="3" xfId="12" applyNumberFormat="1" applyFont="1" applyFill="1" applyBorder="1" applyAlignment="1">
      <alignment horizontal="left"/>
    </xf>
    <xf numFmtId="2" fontId="27" fillId="4" borderId="0" xfId="12" applyNumberFormat="1" applyFont="1" applyFill="1" applyBorder="1" applyAlignment="1"/>
    <xf numFmtId="2" fontId="5" fillId="4" borderId="0" xfId="12" applyNumberFormat="1" applyFont="1" applyFill="1" applyAlignment="1"/>
    <xf numFmtId="2" fontId="26" fillId="4" borderId="3" xfId="12" applyNumberFormat="1" applyFont="1" applyFill="1" applyBorder="1" applyAlignment="1">
      <alignment horizontal="left" indent="1"/>
    </xf>
    <xf numFmtId="2" fontId="5" fillId="4" borderId="7" xfId="12" applyNumberFormat="1" applyFont="1" applyFill="1" applyBorder="1" applyAlignment="1">
      <alignment horizontal="left" indent="1"/>
    </xf>
    <xf numFmtId="2" fontId="19" fillId="4" borderId="3" xfId="12" applyNumberFormat="1" applyFont="1" applyFill="1" applyBorder="1" applyAlignment="1"/>
    <xf numFmtId="2" fontId="5" fillId="4" borderId="21" xfId="12" applyNumberFormat="1" applyFont="1" applyFill="1" applyBorder="1" applyAlignment="1"/>
    <xf numFmtId="2" fontId="5" fillId="4" borderId="32" xfId="12" applyNumberFormat="1" applyFont="1" applyFill="1" applyBorder="1" applyAlignment="1"/>
    <xf numFmtId="2" fontId="19" fillId="4" borderId="0" xfId="12" applyNumberFormat="1" applyFont="1" applyFill="1" applyBorder="1" applyAlignment="1"/>
    <xf numFmtId="2" fontId="36" fillId="4" borderId="0" xfId="12" applyNumberFormat="1" applyFont="1" applyFill="1" applyBorder="1" applyAlignment="1"/>
    <xf numFmtId="2" fontId="4" fillId="4" borderId="0" xfId="12" applyNumberFormat="1" applyFont="1" applyFill="1" applyBorder="1" applyAlignment="1">
      <alignment horizontal="left" indent="1"/>
    </xf>
    <xf numFmtId="2" fontId="4" fillId="4" borderId="9" xfId="12" applyNumberFormat="1" applyFont="1" applyFill="1" applyBorder="1" applyAlignment="1"/>
    <xf numFmtId="2" fontId="4" fillId="4" borderId="9" xfId="12" applyNumberFormat="1" applyFont="1" applyFill="1" applyBorder="1" applyAlignment="1">
      <alignment horizontal="left" indent="1"/>
    </xf>
    <xf numFmtId="176" fontId="4" fillId="4" borderId="6" xfId="12" applyNumberFormat="1" applyFont="1" applyFill="1" applyBorder="1" applyAlignment="1"/>
    <xf numFmtId="176" fontId="4" fillId="4" borderId="4" xfId="12" applyNumberFormat="1" applyFont="1" applyFill="1" applyBorder="1" applyAlignment="1"/>
    <xf numFmtId="2" fontId="5" fillId="4" borderId="1" xfId="12" applyNumberFormat="1" applyFont="1" applyFill="1" applyBorder="1" applyAlignment="1">
      <alignment horizontal="center"/>
    </xf>
    <xf numFmtId="2" fontId="5" fillId="4" borderId="31" xfId="12" applyNumberFormat="1" applyFont="1" applyFill="1" applyBorder="1" applyAlignment="1">
      <alignment horizontal="center"/>
    </xf>
    <xf numFmtId="2" fontId="24" fillId="4" borderId="0" xfId="12" applyNumberFormat="1" applyFont="1" applyFill="1" applyAlignment="1">
      <alignment horizontal="left"/>
    </xf>
    <xf numFmtId="2" fontId="19" fillId="4" borderId="5" xfId="12" applyNumberFormat="1" applyFont="1" applyFill="1" applyBorder="1" applyAlignment="1"/>
    <xf numFmtId="2" fontId="4" fillId="4" borderId="5" xfId="12" applyNumberFormat="1" applyFont="1" applyFill="1" applyBorder="1" applyAlignment="1"/>
    <xf numFmtId="2" fontId="4" fillId="4" borderId="19" xfId="12" applyNumberFormat="1" applyFont="1" applyFill="1" applyBorder="1" applyAlignment="1"/>
    <xf numFmtId="2" fontId="4" fillId="4" borderId="8" xfId="12" applyNumberFormat="1" applyFont="1" applyFill="1" applyBorder="1" applyAlignment="1"/>
    <xf numFmtId="2" fontId="21" fillId="4" borderId="9" xfId="12" applyNumberFormat="1" applyFont="1" applyFill="1" applyBorder="1" applyAlignment="1">
      <alignment horizontal="left" indent="1"/>
    </xf>
    <xf numFmtId="2" fontId="4" fillId="4" borderId="15" xfId="12" applyNumberFormat="1" applyFont="1" applyFill="1" applyBorder="1" applyAlignment="1"/>
    <xf numFmtId="2" fontId="4" fillId="4" borderId="9" xfId="12" applyNumberFormat="1" applyFont="1" applyFill="1" applyBorder="1" applyAlignment="1">
      <alignment horizontal="left" indent="2"/>
    </xf>
    <xf numFmtId="2" fontId="4" fillId="4" borderId="6" xfId="12" applyNumberFormat="1" applyFont="1" applyFill="1" applyBorder="1" applyAlignment="1"/>
    <xf numFmtId="2" fontId="4" fillId="4" borderId="16" xfId="12" applyNumberFormat="1" applyFont="1" applyFill="1" applyBorder="1" applyAlignment="1"/>
    <xf numFmtId="2" fontId="19" fillId="4" borderId="9" xfId="12" applyNumberFormat="1" applyFont="1" applyFill="1" applyBorder="1" applyAlignment="1"/>
    <xf numFmtId="2" fontId="5" fillId="4" borderId="13" xfId="12" applyNumberFormat="1" applyFont="1" applyFill="1" applyBorder="1" applyAlignment="1"/>
    <xf numFmtId="2" fontId="5" fillId="4" borderId="22" xfId="12" applyNumberFormat="1" applyFont="1" applyFill="1" applyBorder="1" applyAlignment="1"/>
    <xf numFmtId="2" fontId="5" fillId="4" borderId="14" xfId="12" applyNumberFormat="1" applyFont="1" applyFill="1" applyBorder="1" applyAlignment="1"/>
    <xf numFmtId="2" fontId="20" fillId="4" borderId="9" xfId="12" applyNumberFormat="1" applyFont="1" applyFill="1" applyBorder="1" applyAlignment="1">
      <alignment horizontal="left" indent="1"/>
    </xf>
    <xf numFmtId="2" fontId="21" fillId="4" borderId="9" xfId="12" applyNumberFormat="1" applyFont="1" applyFill="1" applyBorder="1" applyAlignment="1">
      <alignment horizontal="left" indent="2"/>
    </xf>
    <xf numFmtId="2" fontId="5" fillId="4" borderId="9" xfId="12" applyNumberFormat="1" applyFont="1" applyFill="1" applyBorder="1" applyAlignment="1"/>
    <xf numFmtId="2" fontId="4" fillId="4" borderId="13" xfId="12" applyNumberFormat="1" applyFont="1" applyFill="1" applyBorder="1" applyAlignment="1"/>
    <xf numFmtId="2" fontId="4" fillId="4" borderId="22" xfId="12" applyNumberFormat="1" applyFont="1" applyFill="1" applyBorder="1" applyAlignment="1"/>
    <xf numFmtId="2" fontId="25" fillId="4" borderId="0" xfId="12" applyNumberFormat="1" applyFont="1" applyFill="1" applyBorder="1" applyAlignment="1"/>
    <xf numFmtId="2" fontId="4" fillId="4" borderId="14" xfId="12" applyNumberFormat="1" applyFont="1" applyFill="1" applyBorder="1" applyAlignment="1"/>
    <xf numFmtId="2" fontId="4" fillId="4" borderId="16" xfId="12" applyNumberFormat="1" applyFont="1" applyFill="1" applyBorder="1" applyAlignment="1">
      <alignment horizontal="left" indent="1"/>
    </xf>
    <xf numFmtId="2" fontId="5" fillId="4" borderId="16" xfId="12" applyNumberFormat="1" applyFont="1" applyFill="1" applyBorder="1" applyAlignment="1"/>
    <xf numFmtId="2" fontId="19" fillId="4" borderId="16" xfId="12" applyNumberFormat="1" applyFont="1" applyFill="1" applyBorder="1" applyAlignment="1"/>
    <xf numFmtId="2" fontId="5" fillId="4" borderId="20" xfId="12" applyNumberFormat="1" applyFont="1" applyFill="1" applyBorder="1" applyAlignment="1"/>
    <xf numFmtId="2" fontId="5" fillId="4" borderId="28" xfId="12" applyNumberFormat="1" applyFont="1" applyFill="1" applyBorder="1" applyAlignment="1"/>
    <xf numFmtId="2" fontId="4" fillId="4" borderId="0" xfId="12" applyNumberFormat="1" applyFont="1" applyFill="1" applyAlignment="1">
      <alignment wrapText="1"/>
    </xf>
    <xf numFmtId="2" fontId="4" fillId="4" borderId="30" xfId="12" applyNumberFormat="1" applyFont="1" applyFill="1" applyBorder="1" applyAlignment="1"/>
    <xf numFmtId="2" fontId="24" fillId="4" borderId="1" xfId="12" applyNumberFormat="1" applyFont="1" applyFill="1" applyBorder="1" applyAlignment="1">
      <alignment horizontal="center"/>
    </xf>
    <xf numFmtId="2" fontId="5" fillId="4" borderId="29" xfId="12" applyNumberFormat="1" applyFont="1" applyFill="1" applyBorder="1" applyAlignment="1">
      <alignment horizontal="center"/>
    </xf>
    <xf numFmtId="2" fontId="32" fillId="4" borderId="0" xfId="12" applyNumberFormat="1" applyFont="1" applyFill="1" applyBorder="1" applyAlignment="1">
      <alignment horizontal="left"/>
    </xf>
    <xf numFmtId="2" fontId="5" fillId="4" borderId="19" xfId="12" applyNumberFormat="1" applyFont="1" applyFill="1" applyBorder="1" applyAlignment="1"/>
    <xf numFmtId="2" fontId="5" fillId="4" borderId="2" xfId="12" applyNumberFormat="1" applyFont="1" applyFill="1" applyBorder="1" applyAlignment="1"/>
    <xf numFmtId="2" fontId="21" fillId="4" borderId="7" xfId="12" applyNumberFormat="1" applyFont="1" applyFill="1" applyBorder="1" applyAlignment="1"/>
    <xf numFmtId="2" fontId="21" fillId="4" borderId="9" xfId="12" applyNumberFormat="1" applyFont="1" applyFill="1" applyBorder="1" applyAlignment="1"/>
    <xf numFmtId="2" fontId="4" fillId="4" borderId="9" xfId="12" applyNumberFormat="1" applyFont="1" applyFill="1" applyBorder="1" applyAlignment="1">
      <alignment horizontal="left"/>
    </xf>
    <xf numFmtId="2" fontId="19" fillId="4" borderId="15" xfId="12" applyNumberFormat="1" applyFont="1" applyFill="1" applyBorder="1" applyAlignment="1"/>
    <xf numFmtId="2" fontId="4" fillId="4" borderId="31" xfId="12" applyNumberFormat="1" applyFont="1" applyFill="1" applyBorder="1" applyAlignment="1"/>
    <xf numFmtId="2" fontId="5" fillId="4" borderId="15" xfId="12" applyNumberFormat="1" applyFont="1" applyFill="1" applyBorder="1" applyAlignment="1"/>
    <xf numFmtId="2" fontId="21" fillId="4" borderId="15" xfId="12" applyNumberFormat="1" applyFont="1" applyFill="1" applyBorder="1" applyAlignment="1"/>
    <xf numFmtId="2" fontId="4" fillId="4" borderId="18" xfId="12" applyNumberFormat="1" applyFont="1" applyFill="1" applyBorder="1" applyAlignment="1"/>
    <xf numFmtId="2" fontId="4" fillId="4" borderId="23" xfId="12" applyNumberFormat="1" applyFont="1" applyFill="1" applyBorder="1" applyAlignment="1"/>
    <xf numFmtId="2" fontId="21" fillId="4" borderId="16" xfId="12" applyNumberFormat="1" applyFont="1" applyFill="1" applyBorder="1" applyAlignment="1"/>
    <xf numFmtId="2" fontId="4" fillId="4" borderId="17" xfId="12" applyNumberFormat="1" applyFont="1" applyFill="1" applyBorder="1" applyAlignment="1"/>
    <xf numFmtId="2" fontId="4" fillId="4" borderId="32" xfId="12" applyNumberFormat="1" applyFont="1" applyFill="1" applyBorder="1" applyAlignment="1"/>
    <xf numFmtId="2" fontId="21" fillId="4" borderId="0" xfId="12" applyNumberFormat="1" applyFont="1" applyFill="1" applyAlignment="1"/>
    <xf numFmtId="2" fontId="21" fillId="4" borderId="1" xfId="12" applyNumberFormat="1" applyFont="1" applyFill="1" applyBorder="1" applyAlignment="1"/>
    <xf numFmtId="2" fontId="22" fillId="4" borderId="0" xfId="12" applyNumberFormat="1" applyFont="1" applyFill="1" applyBorder="1" applyAlignment="1"/>
    <xf numFmtId="167" fontId="4" fillId="4" borderId="0" xfId="7" applyNumberFormat="1" applyFont="1" applyFill="1" applyBorder="1" applyAlignment="1"/>
    <xf numFmtId="167" fontId="4" fillId="4" borderId="3" xfId="7" applyNumberFormat="1" applyFont="1" applyFill="1" applyBorder="1" applyAlignment="1"/>
    <xf numFmtId="10" fontId="4" fillId="4" borderId="0" xfId="7" applyNumberFormat="1" applyFont="1" applyFill="1" applyBorder="1" applyAlignment="1"/>
    <xf numFmtId="10" fontId="4" fillId="4" borderId="3" xfId="7" applyNumberFormat="1" applyFont="1" applyFill="1" applyBorder="1" applyAlignment="1"/>
    <xf numFmtId="10" fontId="4" fillId="4" borderId="4" xfId="7" applyNumberFormat="1" applyFont="1" applyFill="1" applyBorder="1" applyAlignment="1"/>
    <xf numFmtId="2" fontId="4" fillId="4" borderId="29" xfId="12" applyNumberFormat="1" applyFont="1" applyFill="1" applyBorder="1" applyAlignment="1"/>
    <xf numFmtId="2" fontId="18" fillId="4" borderId="0" xfId="12" applyNumberFormat="1" applyFont="1" applyFill="1" applyBorder="1" applyAlignment="1">
      <alignment horizontal="left"/>
    </xf>
    <xf numFmtId="2" fontId="4" fillId="4" borderId="2" xfId="12" applyNumberFormat="1" applyFont="1" applyFill="1" applyBorder="1" applyAlignment="1">
      <alignment horizontal="right"/>
    </xf>
    <xf numFmtId="2" fontId="8" fillId="4" borderId="8" xfId="12" applyNumberFormat="1" applyFont="1" applyFill="1" applyBorder="1" applyAlignment="1"/>
    <xf numFmtId="2" fontId="20" fillId="4" borderId="0" xfId="12" applyNumberFormat="1" applyFont="1" applyFill="1" applyBorder="1" applyAlignment="1"/>
    <xf numFmtId="10" fontId="4" fillId="4" borderId="0" xfId="7" applyNumberFormat="1" applyFont="1" applyFill="1" applyBorder="1" applyAlignment="1">
      <alignment horizontal="right"/>
    </xf>
    <xf numFmtId="10" fontId="4" fillId="4" borderId="3" xfId="7" applyNumberFormat="1" applyFont="1" applyFill="1" applyBorder="1" applyAlignment="1">
      <alignment horizontal="right"/>
    </xf>
    <xf numFmtId="2" fontId="4" fillId="4" borderId="0" xfId="12" applyNumberFormat="1" applyFont="1" applyFill="1" applyBorder="1" applyAlignment="1">
      <alignment horizontal="right"/>
    </xf>
    <xf numFmtId="2" fontId="4" fillId="4" borderId="4" xfId="12" applyNumberFormat="1" applyFont="1" applyFill="1" applyBorder="1" applyAlignment="1">
      <alignment horizontal="right"/>
    </xf>
    <xf numFmtId="10" fontId="4" fillId="4" borderId="4" xfId="7" applyNumberFormat="1" applyFont="1" applyFill="1" applyBorder="1" applyAlignment="1">
      <alignment horizontal="right"/>
    </xf>
    <xf numFmtId="10" fontId="4" fillId="4" borderId="7" xfId="7" applyNumberFormat="1" applyFont="1" applyFill="1" applyBorder="1" applyAlignment="1">
      <alignment horizontal="right"/>
    </xf>
    <xf numFmtId="2" fontId="4" fillId="4" borderId="0" xfId="12" applyNumberFormat="1" applyFont="1" applyFill="1" applyAlignment="1">
      <alignment horizontal="right"/>
    </xf>
    <xf numFmtId="2" fontId="5" fillId="4" borderId="5" xfId="12" applyNumberFormat="1" applyFont="1" applyFill="1" applyBorder="1" applyAlignment="1"/>
    <xf numFmtId="2" fontId="4" fillId="4" borderId="5" xfId="12" applyNumberFormat="1" applyFont="1" applyFill="1" applyBorder="1" applyAlignment="1">
      <alignment horizontal="right"/>
    </xf>
    <xf numFmtId="2" fontId="4" fillId="4" borderId="9" xfId="12" applyNumberFormat="1" applyFont="1" applyFill="1" applyBorder="1" applyAlignment="1">
      <alignment horizontal="right"/>
    </xf>
    <xf numFmtId="2" fontId="4" fillId="4" borderId="3" xfId="12" applyNumberFormat="1" applyFont="1" applyFill="1" applyBorder="1" applyAlignment="1">
      <alignment horizontal="right"/>
    </xf>
    <xf numFmtId="178" fontId="4" fillId="4" borderId="9" xfId="12" applyNumberFormat="1" applyFont="1" applyFill="1" applyBorder="1" applyAlignment="1">
      <alignment horizontal="right"/>
    </xf>
    <xf numFmtId="178" fontId="4" fillId="4" borderId="0" xfId="12" applyNumberFormat="1" applyFont="1" applyFill="1" applyBorder="1" applyAlignment="1">
      <alignment horizontal="right"/>
    </xf>
    <xf numFmtId="178" fontId="4" fillId="4" borderId="3" xfId="12" applyNumberFormat="1" applyFont="1" applyFill="1" applyBorder="1" applyAlignment="1">
      <alignment horizontal="right"/>
    </xf>
    <xf numFmtId="176" fontId="4" fillId="4" borderId="6" xfId="12" applyNumberFormat="1" applyFont="1" applyFill="1" applyBorder="1" applyAlignment="1">
      <alignment horizontal="right"/>
    </xf>
    <xf numFmtId="176" fontId="4" fillId="4" borderId="4" xfId="12" applyNumberFormat="1" applyFont="1" applyFill="1" applyBorder="1" applyAlignment="1">
      <alignment horizontal="right"/>
    </xf>
    <xf numFmtId="176" fontId="4" fillId="4" borderId="7" xfId="12" applyNumberFormat="1" applyFont="1" applyFill="1" applyBorder="1" applyAlignment="1">
      <alignment horizontal="right"/>
    </xf>
    <xf numFmtId="2" fontId="21" fillId="4" borderId="0" xfId="12" applyNumberFormat="1" applyFont="1" applyFill="1" applyBorder="1" applyAlignment="1"/>
    <xf numFmtId="10" fontId="4" fillId="4" borderId="5" xfId="7" applyNumberFormat="1" applyFont="1" applyFill="1" applyBorder="1" applyAlignment="1"/>
    <xf numFmtId="10" fontId="4" fillId="4" borderId="2" xfId="7" applyNumberFormat="1" applyFont="1" applyFill="1" applyBorder="1" applyAlignment="1"/>
    <xf numFmtId="10" fontId="4" fillId="4" borderId="9" xfId="7" applyNumberFormat="1" applyFont="1" applyFill="1" applyBorder="1" applyAlignment="1"/>
    <xf numFmtId="10" fontId="4" fillId="4" borderId="6" xfId="7" applyNumberFormat="1" applyFont="1" applyFill="1" applyBorder="1" applyAlignment="1"/>
    <xf numFmtId="10" fontId="4" fillId="4" borderId="7" xfId="7" applyNumberFormat="1" applyFont="1" applyFill="1" applyBorder="1" applyAlignment="1"/>
    <xf numFmtId="10" fontId="4" fillId="4" borderId="0" xfId="7" applyNumberFormat="1" applyFont="1" applyFill="1" applyAlignment="1"/>
    <xf numFmtId="177" fontId="4" fillId="4" borderId="9" xfId="12" applyNumberFormat="1" applyFont="1" applyFill="1" applyBorder="1" applyAlignment="1"/>
    <xf numFmtId="177" fontId="4" fillId="4" borderId="0" xfId="12" applyNumberFormat="1" applyFont="1" applyFill="1" applyBorder="1" applyAlignment="1"/>
    <xf numFmtId="177" fontId="4" fillId="4" borderId="3" xfId="12" applyNumberFormat="1" applyFont="1" applyFill="1" applyBorder="1" applyAlignment="1"/>
    <xf numFmtId="10" fontId="4" fillId="4" borderId="18" xfId="7" applyNumberFormat="1" applyFont="1" applyFill="1" applyBorder="1" applyAlignment="1"/>
    <xf numFmtId="2" fontId="18" fillId="4" borderId="0" xfId="12" applyNumberFormat="1" applyFont="1" applyFill="1" applyBorder="1" applyAlignment="1"/>
    <xf numFmtId="2" fontId="5" fillId="4" borderId="4" xfId="12" applyNumberFormat="1" applyFont="1" applyFill="1" applyBorder="1" applyAlignment="1">
      <alignment horizontal="right"/>
    </xf>
    <xf numFmtId="2" fontId="5" fillId="4" borderId="7" xfId="12" applyNumberFormat="1" applyFont="1" applyFill="1" applyBorder="1" applyAlignment="1">
      <alignment horizontal="right"/>
    </xf>
    <xf numFmtId="2" fontId="4" fillId="4" borderId="0" xfId="23" applyNumberFormat="1" applyFont="1" applyFill="1" applyBorder="1" applyAlignment="1">
      <alignment horizontal="right"/>
    </xf>
    <xf numFmtId="2" fontId="4" fillId="4" borderId="3" xfId="23" applyNumberFormat="1" applyFont="1" applyFill="1" applyBorder="1" applyAlignment="1">
      <alignment horizontal="right"/>
    </xf>
    <xf numFmtId="2" fontId="4" fillId="4" borderId="0" xfId="23" applyNumberFormat="1" applyFont="1" applyFill="1" applyBorder="1" applyAlignment="1"/>
    <xf numFmtId="2" fontId="4" fillId="4" borderId="0" xfId="12" quotePrefix="1" applyNumberFormat="1" applyFont="1" applyFill="1" applyBorder="1" applyAlignment="1">
      <alignment horizontal="right"/>
    </xf>
    <xf numFmtId="2" fontId="4" fillId="4" borderId="3" xfId="12" quotePrefix="1" applyNumberFormat="1" applyFont="1" applyFill="1" applyBorder="1" applyAlignment="1">
      <alignment horizontal="right"/>
    </xf>
    <xf numFmtId="10" fontId="4" fillId="4" borderId="0" xfId="7" quotePrefix="1" applyNumberFormat="1" applyFont="1" applyFill="1" applyBorder="1" applyAlignment="1">
      <alignment horizontal="right"/>
    </xf>
    <xf numFmtId="10" fontId="4" fillId="4" borderId="3" xfId="7" quotePrefix="1" applyNumberFormat="1" applyFont="1" applyFill="1" applyBorder="1" applyAlignment="1">
      <alignment horizontal="right"/>
    </xf>
    <xf numFmtId="2" fontId="17" fillId="4" borderId="0" xfId="12" applyNumberFormat="1" applyFont="1" applyFill="1" applyBorder="1" applyAlignment="1"/>
    <xf numFmtId="176" fontId="4" fillId="4" borderId="0" xfId="12" applyNumberFormat="1" applyFont="1" applyFill="1" applyBorder="1" applyAlignment="1">
      <alignment horizontal="right"/>
    </xf>
    <xf numFmtId="2" fontId="4" fillId="4" borderId="6" xfId="12" applyNumberFormat="1" applyFont="1" applyFill="1" applyBorder="1" applyAlignment="1">
      <alignment horizontal="right"/>
    </xf>
    <xf numFmtId="2" fontId="4" fillId="4" borderId="7" xfId="12" applyNumberFormat="1" applyFont="1" applyFill="1" applyBorder="1" applyAlignment="1">
      <alignment horizontal="right"/>
    </xf>
    <xf numFmtId="2" fontId="17" fillId="4" borderId="4" xfId="12" applyNumberFormat="1" applyFont="1" applyFill="1" applyBorder="1" applyAlignment="1"/>
    <xf numFmtId="2" fontId="5" fillId="4" borderId="7" xfId="12" applyNumberFormat="1" applyFont="1" applyFill="1" applyBorder="1" applyAlignment="1">
      <alignment horizontal="center"/>
    </xf>
    <xf numFmtId="2" fontId="4" fillId="4" borderId="3" xfId="23" applyNumberFormat="1" applyFont="1" applyFill="1" applyBorder="1" applyAlignment="1"/>
    <xf numFmtId="10" fontId="4" fillId="4" borderId="0" xfId="7" applyNumberFormat="1" applyFont="1" applyFill="1" applyAlignment="1">
      <alignment horizontal="right"/>
    </xf>
    <xf numFmtId="10" fontId="4" fillId="4" borderId="1" xfId="7" applyNumberFormat="1" applyFont="1" applyFill="1" applyBorder="1" applyAlignment="1">
      <alignment horizontal="right"/>
    </xf>
    <xf numFmtId="10" fontId="4" fillId="4" borderId="1" xfId="7" applyNumberFormat="1" applyFont="1" applyFill="1" applyBorder="1" applyAlignment="1"/>
    <xf numFmtId="2" fontId="4" fillId="7" borderId="0" xfId="7" applyNumberFormat="1" applyFont="1" applyFill="1" applyBorder="1" applyAlignment="1"/>
    <xf numFmtId="2" fontId="4" fillId="7" borderId="4" xfId="7" applyNumberFormat="1" applyFont="1" applyFill="1" applyBorder="1" applyAlignment="1">
      <alignment horizontal="centerContinuous"/>
    </xf>
    <xf numFmtId="0" fontId="73" fillId="8" borderId="0" xfId="0" applyFont="1" applyFill="1"/>
    <xf numFmtId="0" fontId="74" fillId="0" borderId="0" xfId="0" applyFont="1"/>
    <xf numFmtId="198" fontId="0" fillId="3" borderId="0" xfId="6" applyNumberFormat="1" applyFont="1" applyFill="1"/>
    <xf numFmtId="0" fontId="74" fillId="2" borderId="0" xfId="0" applyFont="1" applyFill="1"/>
    <xf numFmtId="9" fontId="74" fillId="2" borderId="0" xfId="0" applyNumberFormat="1" applyFont="1" applyFill="1"/>
    <xf numFmtId="197" fontId="74" fillId="2" borderId="0" xfId="0" applyNumberFormat="1" applyFont="1" applyFill="1"/>
    <xf numFmtId="197" fontId="74" fillId="0" borderId="0" xfId="0" applyNumberFormat="1" applyFont="1"/>
    <xf numFmtId="0" fontId="62" fillId="0" borderId="33" xfId="0" applyFont="1" applyBorder="1"/>
    <xf numFmtId="0" fontId="0" fillId="0" borderId="33" xfId="0" applyBorder="1"/>
    <xf numFmtId="0" fontId="75" fillId="0" borderId="0" xfId="0" applyFont="1"/>
    <xf numFmtId="199" fontId="0" fillId="0" borderId="0" xfId="0" applyNumberFormat="1"/>
    <xf numFmtId="0" fontId="0" fillId="0" borderId="34" xfId="0" applyBorder="1"/>
    <xf numFmtId="0" fontId="75" fillId="0" borderId="35" xfId="0" applyFont="1" applyBorder="1" applyAlignment="1">
      <alignment horizontal="center"/>
    </xf>
    <xf numFmtId="0" fontId="0" fillId="0" borderId="35" xfId="0" applyBorder="1"/>
    <xf numFmtId="0" fontId="75" fillId="0" borderId="33" xfId="0" applyFont="1" applyBorder="1"/>
    <xf numFmtId="199" fontId="0" fillId="0" borderId="33" xfId="0" applyNumberFormat="1" applyBorder="1"/>
    <xf numFmtId="0" fontId="75" fillId="0" borderId="35" xfId="0" applyFont="1" applyBorder="1"/>
    <xf numFmtId="0" fontId="62" fillId="0" borderId="0" xfId="0" applyFont="1" applyAlignment="1">
      <alignment horizontal="center"/>
    </xf>
    <xf numFmtId="0" fontId="75" fillId="0" borderId="36" xfId="0" applyFont="1" applyBorder="1"/>
    <xf numFmtId="199" fontId="0" fillId="0" borderId="36" xfId="0" applyNumberFormat="1" applyBorder="1"/>
    <xf numFmtId="0" fontId="0" fillId="0" borderId="36" xfId="0" applyBorder="1"/>
    <xf numFmtId="0" fontId="76" fillId="0" borderId="0" xfId="0" applyFont="1"/>
    <xf numFmtId="199" fontId="77" fillId="0" borderId="0" xfId="0" applyNumberFormat="1" applyFont="1"/>
    <xf numFmtId="0" fontId="77" fillId="3" borderId="0" xfId="0" applyFont="1" applyFill="1"/>
    <xf numFmtId="0" fontId="0" fillId="10" borderId="0" xfId="0" applyFill="1"/>
    <xf numFmtId="0" fontId="0" fillId="10" borderId="0" xfId="0" applyFill="1" applyBorder="1"/>
    <xf numFmtId="0" fontId="57" fillId="10" borderId="0" xfId="0" applyFont="1" applyFill="1" applyBorder="1"/>
    <xf numFmtId="0" fontId="59" fillId="10" borderId="5" xfId="0" applyFont="1" applyFill="1" applyBorder="1"/>
    <xf numFmtId="0" fontId="59" fillId="10" borderId="2" xfId="0" applyFont="1" applyFill="1" applyBorder="1"/>
    <xf numFmtId="0" fontId="59" fillId="10" borderId="8" xfId="0" applyFont="1" applyFill="1" applyBorder="1"/>
    <xf numFmtId="0" fontId="0" fillId="10" borderId="0" xfId="0" applyFont="1" applyFill="1" applyAlignment="1"/>
    <xf numFmtId="0" fontId="56" fillId="10" borderId="9" xfId="0" applyFont="1" applyFill="1" applyBorder="1"/>
    <xf numFmtId="0" fontId="0" fillId="10" borderId="3" xfId="0" applyFill="1" applyBorder="1"/>
    <xf numFmtId="0" fontId="58" fillId="10" borderId="0" xfId="0" applyFont="1" applyFill="1" applyBorder="1" applyAlignment="1">
      <alignment horizontal="right"/>
    </xf>
    <xf numFmtId="0" fontId="59" fillId="10" borderId="9" xfId="0" applyFont="1" applyFill="1" applyBorder="1"/>
    <xf numFmtId="0" fontId="59" fillId="10" borderId="0" xfId="0" applyFont="1" applyFill="1" applyBorder="1"/>
    <xf numFmtId="0" fontId="63" fillId="10" borderId="0" xfId="0" applyFont="1" applyFill="1" applyBorder="1" applyAlignment="1">
      <alignment horizontal="right"/>
    </xf>
    <xf numFmtId="0" fontId="63" fillId="10" borderId="3" xfId="0" applyFont="1" applyFill="1" applyBorder="1" applyAlignment="1">
      <alignment horizontal="right"/>
    </xf>
    <xf numFmtId="195" fontId="59" fillId="10" borderId="3" xfId="0" applyNumberFormat="1" applyFont="1" applyFill="1" applyBorder="1"/>
    <xf numFmtId="195" fontId="59" fillId="10" borderId="0" xfId="0" applyNumberFormat="1" applyFont="1" applyFill="1" applyBorder="1"/>
    <xf numFmtId="195" fontId="57" fillId="10" borderId="9" xfId="0" applyNumberFormat="1" applyFont="1" applyFill="1" applyBorder="1"/>
    <xf numFmtId="10" fontId="59" fillId="10" borderId="0" xfId="6" applyNumberFormat="1" applyFont="1" applyFill="1" applyBorder="1"/>
    <xf numFmtId="10" fontId="59" fillId="10" borderId="3" xfId="6" applyNumberFormat="1" applyFont="1" applyFill="1" applyBorder="1"/>
    <xf numFmtId="0" fontId="54" fillId="10" borderId="9" xfId="0" applyFont="1" applyFill="1" applyBorder="1" applyAlignment="1"/>
    <xf numFmtId="0" fontId="54" fillId="10" borderId="0" xfId="0" applyFont="1" applyFill="1" applyAlignment="1"/>
    <xf numFmtId="6" fontId="54" fillId="10" borderId="0" xfId="0" applyNumberFormat="1" applyFont="1" applyFill="1" applyAlignment="1"/>
    <xf numFmtId="167" fontId="54" fillId="10" borderId="0" xfId="0" applyNumberFormat="1" applyFont="1" applyFill="1" applyAlignment="1"/>
    <xf numFmtId="196" fontId="54" fillId="10" borderId="0" xfId="0" applyNumberFormat="1" applyFont="1" applyFill="1" applyAlignment="1"/>
    <xf numFmtId="10" fontId="2" fillId="10" borderId="3" xfId="0" applyNumberFormat="1" applyFont="1" applyFill="1" applyBorder="1" applyAlignment="1"/>
    <xf numFmtId="195" fontId="57" fillId="10" borderId="0" xfId="0" applyNumberFormat="1" applyFont="1" applyFill="1" applyBorder="1"/>
    <xf numFmtId="195" fontId="59" fillId="10" borderId="8" xfId="0" applyNumberFormat="1" applyFont="1" applyFill="1" applyBorder="1"/>
    <xf numFmtId="10" fontId="61" fillId="10" borderId="3" xfId="0" applyNumberFormat="1" applyFont="1" applyFill="1" applyBorder="1" applyAlignment="1"/>
    <xf numFmtId="0" fontId="54" fillId="10" borderId="0" xfId="0" applyFont="1" applyFill="1"/>
    <xf numFmtId="0" fontId="59" fillId="10" borderId="3" xfId="0" applyFont="1" applyFill="1" applyBorder="1"/>
    <xf numFmtId="195" fontId="59" fillId="10" borderId="4" xfId="0" applyNumberFormat="1" applyFont="1" applyFill="1" applyBorder="1"/>
    <xf numFmtId="10" fontId="59" fillId="10" borderId="4" xfId="6" applyNumberFormat="1" applyFont="1" applyFill="1" applyBorder="1"/>
    <xf numFmtId="10" fontId="61" fillId="10" borderId="7" xfId="0" applyNumberFormat="1" applyFont="1" applyFill="1" applyBorder="1"/>
    <xf numFmtId="9" fontId="59" fillId="10" borderId="0" xfId="0" applyNumberFormat="1" applyFont="1" applyFill="1" applyBorder="1"/>
    <xf numFmtId="10" fontId="0" fillId="10" borderId="3" xfId="0" applyNumberFormat="1" applyFont="1" applyFill="1" applyBorder="1"/>
    <xf numFmtId="10" fontId="59" fillId="10" borderId="0" xfId="0" applyNumberFormat="1" applyFont="1" applyFill="1" applyBorder="1"/>
    <xf numFmtId="10" fontId="59" fillId="10" borderId="3" xfId="0" applyNumberFormat="1" applyFont="1" applyFill="1" applyBorder="1"/>
    <xf numFmtId="9" fontId="59" fillId="10" borderId="3" xfId="6" applyFont="1" applyFill="1" applyBorder="1"/>
    <xf numFmtId="9" fontId="57" fillId="10" borderId="0" xfId="6" applyFont="1" applyFill="1" applyBorder="1"/>
    <xf numFmtId="0" fontId="59" fillId="10" borderId="3" xfId="0" applyFont="1" applyFill="1" applyBorder="1" applyAlignment="1">
      <alignment horizontal="right"/>
    </xf>
    <xf numFmtId="0" fontId="57" fillId="10" borderId="0" xfId="0" applyFont="1" applyFill="1" applyBorder="1" applyAlignment="1">
      <alignment horizontal="right"/>
    </xf>
    <xf numFmtId="196" fontId="59" fillId="10" borderId="3" xfId="0" applyNumberFormat="1" applyFont="1" applyFill="1" applyBorder="1" applyAlignment="1">
      <alignment horizontal="right" vertical="top"/>
    </xf>
    <xf numFmtId="196" fontId="57" fillId="10" borderId="0" xfId="0" applyNumberFormat="1" applyFont="1" applyFill="1" applyBorder="1"/>
    <xf numFmtId="0" fontId="0" fillId="10" borderId="4" xfId="0" applyFont="1" applyFill="1" applyBorder="1" applyAlignment="1"/>
    <xf numFmtId="195" fontId="59" fillId="10" borderId="3" xfId="0" applyNumberFormat="1" applyFont="1" applyFill="1" applyBorder="1" applyAlignment="1">
      <alignment horizontal="right" vertical="top"/>
    </xf>
    <xf numFmtId="0" fontId="62" fillId="10" borderId="5" xfId="0" applyFont="1" applyFill="1" applyBorder="1"/>
    <xf numFmtId="0" fontId="62" fillId="10" borderId="2" xfId="0" applyFont="1" applyFill="1" applyBorder="1"/>
    <xf numFmtId="0" fontId="0" fillId="10" borderId="2" xfId="0" applyFont="1" applyFill="1" applyBorder="1" applyAlignment="1"/>
    <xf numFmtId="10" fontId="62" fillId="10" borderId="8" xfId="6" applyNumberFormat="1" applyFont="1" applyFill="1" applyBorder="1"/>
    <xf numFmtId="0" fontId="62" fillId="10" borderId="8" xfId="0" applyFont="1" applyFill="1" applyBorder="1" applyAlignment="1">
      <alignment horizontal="right"/>
    </xf>
    <xf numFmtId="10" fontId="62" fillId="10" borderId="8" xfId="6" applyNumberFormat="1" applyFont="1" applyFill="1" applyBorder="1" applyAlignment="1">
      <alignment horizontal="right"/>
    </xf>
    <xf numFmtId="9" fontId="56" fillId="10" borderId="0" xfId="6" applyFont="1" applyFill="1" applyBorder="1"/>
    <xf numFmtId="0" fontId="62" fillId="10" borderId="6" xfId="0" applyFont="1" applyFill="1" applyBorder="1"/>
    <xf numFmtId="0" fontId="62" fillId="10" borderId="4" xfId="0" applyFont="1" applyFill="1" applyBorder="1"/>
    <xf numFmtId="0" fontId="62" fillId="10" borderId="7" xfId="0" applyFont="1" applyFill="1" applyBorder="1" applyAlignment="1">
      <alignment horizontal="right"/>
    </xf>
    <xf numFmtId="10" fontId="62" fillId="10" borderId="7" xfId="0" applyNumberFormat="1" applyFont="1" applyFill="1" applyBorder="1" applyAlignment="1">
      <alignment horizontal="right"/>
    </xf>
    <xf numFmtId="0" fontId="59" fillId="10" borderId="6" xfId="0" applyFont="1" applyFill="1" applyBorder="1"/>
    <xf numFmtId="0" fontId="59" fillId="10" borderId="4" xfId="0" applyFont="1" applyFill="1" applyBorder="1"/>
    <xf numFmtId="0" fontId="59" fillId="10" borderId="7" xfId="0" applyFont="1" applyFill="1" applyBorder="1"/>
    <xf numFmtId="0" fontId="0" fillId="10" borderId="4" xfId="0" applyFill="1" applyBorder="1"/>
    <xf numFmtId="0" fontId="64" fillId="10" borderId="9" xfId="0" applyFont="1" applyFill="1" applyBorder="1"/>
    <xf numFmtId="0" fontId="0" fillId="10" borderId="9" xfId="0" applyFill="1" applyBorder="1"/>
    <xf numFmtId="0" fontId="65" fillId="10" borderId="9" xfId="0" applyFont="1" applyFill="1" applyBorder="1"/>
    <xf numFmtId="0" fontId="59" fillId="10" borderId="0" xfId="0" applyFont="1" applyFill="1" applyBorder="1" applyAlignment="1">
      <alignment horizontal="right"/>
    </xf>
    <xf numFmtId="10" fontId="0" fillId="10" borderId="0" xfId="0" applyNumberFormat="1" applyFill="1" applyBorder="1"/>
    <xf numFmtId="0" fontId="62" fillId="10" borderId="13" xfId="0" applyFont="1" applyFill="1" applyBorder="1"/>
    <xf numFmtId="0" fontId="59" fillId="10" borderId="10" xfId="0" applyFont="1" applyFill="1" applyBorder="1"/>
    <xf numFmtId="10" fontId="14" fillId="10" borderId="14" xfId="0" applyNumberFormat="1" applyFont="1" applyFill="1" applyBorder="1"/>
    <xf numFmtId="0" fontId="77" fillId="10" borderId="0" xfId="0" applyFont="1" applyFill="1" applyBorder="1"/>
    <xf numFmtId="9" fontId="59" fillId="10" borderId="3" xfId="0" applyNumberFormat="1" applyFont="1" applyFill="1" applyBorder="1"/>
    <xf numFmtId="0" fontId="0" fillId="10" borderId="6" xfId="0" applyFill="1" applyBorder="1"/>
    <xf numFmtId="0" fontId="0" fillId="10" borderId="7" xfId="0" applyFill="1" applyBorder="1"/>
    <xf numFmtId="0" fontId="62" fillId="10" borderId="10" xfId="0" applyFont="1" applyFill="1" applyBorder="1"/>
    <xf numFmtId="10" fontId="62" fillId="10" borderId="14" xfId="0" applyNumberFormat="1" applyFont="1" applyFill="1" applyBorder="1"/>
    <xf numFmtId="0" fontId="14" fillId="7" borderId="13" xfId="0" applyFont="1" applyFill="1" applyBorder="1"/>
    <xf numFmtId="0" fontId="2" fillId="7" borderId="10" xfId="0" applyFont="1" applyFill="1" applyBorder="1"/>
    <xf numFmtId="0" fontId="67" fillId="7" borderId="14" xfId="0" applyFont="1" applyFill="1" applyBorder="1"/>
    <xf numFmtId="0" fontId="2" fillId="7" borderId="14" xfId="0" applyFont="1" applyFill="1" applyBorder="1"/>
    <xf numFmtId="0" fontId="2" fillId="10" borderId="0" xfId="0" applyFont="1" applyFill="1" applyBorder="1" applyAlignment="1">
      <alignment horizontal="right"/>
    </xf>
    <xf numFmtId="0" fontId="0" fillId="7" borderId="13" xfId="0" applyFill="1" applyBorder="1"/>
    <xf numFmtId="0" fontId="0" fillId="7" borderId="10" xfId="0" applyFill="1" applyBorder="1"/>
    <xf numFmtId="0" fontId="0" fillId="7" borderId="14" xfId="0" applyFill="1" applyBorder="1"/>
    <xf numFmtId="0" fontId="64" fillId="7" borderId="9" xfId="0" applyFont="1" applyFill="1" applyBorder="1"/>
    <xf numFmtId="0" fontId="59" fillId="7" borderId="0" xfId="0" applyFont="1" applyFill="1" applyBorder="1"/>
    <xf numFmtId="0" fontId="59" fillId="7" borderId="3" xfId="0" applyFont="1" applyFill="1" applyBorder="1"/>
    <xf numFmtId="0" fontId="14" fillId="7" borderId="5" xfId="0" applyFont="1" applyFill="1" applyBorder="1"/>
    <xf numFmtId="0" fontId="2" fillId="7" borderId="2" xfId="0" applyFont="1" applyFill="1" applyBorder="1"/>
    <xf numFmtId="0" fontId="2" fillId="7" borderId="8" xfId="0" applyFont="1" applyFill="1" applyBorder="1"/>
    <xf numFmtId="0" fontId="4" fillId="4" borderId="0" xfId="13" applyFont="1" applyFill="1" applyBorder="1" applyAlignment="1" applyProtection="1">
      <alignment horizontal="left"/>
    </xf>
    <xf numFmtId="4" fontId="4" fillId="4" borderId="0" xfId="12" applyNumberFormat="1" applyFont="1" applyFill="1" applyBorder="1" applyAlignment="1"/>
    <xf numFmtId="0" fontId="78" fillId="4" borderId="0" xfId="0" applyFont="1" applyFill="1"/>
    <xf numFmtId="0" fontId="2" fillId="4" borderId="0" xfId="12" applyFont="1" applyFill="1" applyAlignment="1"/>
    <xf numFmtId="0" fontId="5" fillId="4" borderId="0" xfId="12" applyFont="1" applyFill="1" applyBorder="1" applyAlignment="1">
      <alignment horizontal="centerContinuous" vertical="justify"/>
    </xf>
    <xf numFmtId="0" fontId="11" fillId="4" borderId="0" xfId="12" applyFont="1" applyFill="1" applyBorder="1" applyAlignment="1">
      <alignment horizontal="centerContinuous"/>
    </xf>
    <xf numFmtId="0" fontId="4" fillId="4" borderId="0" xfId="12" applyFont="1" applyFill="1" applyBorder="1" applyAlignment="1">
      <alignment horizontal="centerContinuous"/>
    </xf>
    <xf numFmtId="0" fontId="12" fillId="4" borderId="0" xfId="12" applyFont="1" applyFill="1" applyBorder="1" applyAlignment="1">
      <alignment horizontal="center"/>
    </xf>
    <xf numFmtId="0" fontId="13" fillId="4" borderId="0" xfId="12" applyFont="1" applyFill="1" applyBorder="1" applyAlignment="1">
      <alignment horizontal="center"/>
    </xf>
    <xf numFmtId="0" fontId="14" fillId="4" borderId="0" xfId="12" applyFont="1" applyFill="1" applyAlignment="1"/>
    <xf numFmtId="0" fontId="11" fillId="4" borderId="0" xfId="12" quotePrefix="1" applyFont="1" applyFill="1" applyBorder="1" applyAlignment="1" applyProtection="1">
      <alignment horizontal="left"/>
    </xf>
    <xf numFmtId="10" fontId="11" fillId="4" borderId="0" xfId="6" quotePrefix="1" applyNumberFormat="1" applyFont="1" applyFill="1" applyBorder="1" applyAlignment="1" applyProtection="1">
      <alignment horizontal="center"/>
    </xf>
    <xf numFmtId="167" fontId="11" fillId="4" borderId="0" xfId="6" quotePrefix="1" applyNumberFormat="1" applyFont="1" applyFill="1" applyBorder="1" applyAlignment="1" applyProtection="1">
      <alignment horizontal="center"/>
    </xf>
    <xf numFmtId="10" fontId="4" fillId="4" borderId="0" xfId="7" applyNumberFormat="1" applyFont="1" applyFill="1" applyBorder="1" applyAlignment="1">
      <alignment horizontal="center"/>
    </xf>
    <xf numFmtId="0" fontId="14" fillId="4" borderId="0" xfId="12" applyFont="1" applyFill="1" applyBorder="1" applyAlignment="1"/>
    <xf numFmtId="0" fontId="11" fillId="4" borderId="0" xfId="12" applyFont="1" applyFill="1" applyBorder="1" applyAlignment="1"/>
    <xf numFmtId="0" fontId="2" fillId="4" borderId="0" xfId="12" applyFont="1" applyFill="1" applyBorder="1" applyAlignment="1"/>
    <xf numFmtId="9" fontId="11" fillId="4" borderId="0" xfId="6" applyFont="1" applyFill="1" applyBorder="1" applyAlignment="1"/>
    <xf numFmtId="168" fontId="11" fillId="4" borderId="0" xfId="12" applyNumberFormat="1" applyFont="1" applyFill="1" applyBorder="1" applyAlignment="1"/>
    <xf numFmtId="0" fontId="4" fillId="4" borderId="0" xfId="12" applyFont="1" applyFill="1" applyBorder="1" applyAlignment="1">
      <alignment horizontal="left"/>
    </xf>
    <xf numFmtId="168" fontId="11" fillId="4" borderId="4" xfId="12" applyNumberFormat="1" applyFont="1" applyFill="1" applyBorder="1" applyAlignment="1">
      <alignment horizontal="center"/>
    </xf>
    <xf numFmtId="168" fontId="4" fillId="4" borderId="4" xfId="12" applyNumberFormat="1" applyFont="1" applyFill="1" applyBorder="1" applyAlignment="1">
      <alignment horizontal="center"/>
    </xf>
    <xf numFmtId="168" fontId="11" fillId="4" borderId="0" xfId="12" applyNumberFormat="1" applyFont="1" applyFill="1" applyBorder="1" applyAlignment="1">
      <alignment horizontal="center"/>
    </xf>
    <xf numFmtId="168" fontId="4" fillId="4" borderId="0" xfId="12" applyNumberFormat="1" applyFont="1" applyFill="1" applyBorder="1" applyAlignment="1">
      <alignment horizontal="center"/>
    </xf>
    <xf numFmtId="0" fontId="4" fillId="4" borderId="11" xfId="12" applyFont="1" applyFill="1" applyBorder="1" applyAlignment="1">
      <alignment horizontal="left"/>
    </xf>
    <xf numFmtId="3" fontId="11" fillId="4" borderId="11" xfId="12" applyNumberFormat="1" applyFont="1" applyFill="1" applyBorder="1" applyAlignment="1"/>
    <xf numFmtId="3" fontId="4" fillId="4" borderId="11" xfId="12" applyNumberFormat="1" applyFont="1" applyFill="1" applyBorder="1" applyAlignment="1"/>
    <xf numFmtId="0" fontId="4" fillId="4" borderId="0" xfId="12" applyFont="1" applyFill="1" applyBorder="1" applyAlignment="1">
      <alignment horizontal="left" indent="1"/>
    </xf>
    <xf numFmtId="3" fontId="11" fillId="4" borderId="0" xfId="12" applyNumberFormat="1" applyFont="1" applyFill="1" applyBorder="1" applyAlignment="1"/>
    <xf numFmtId="3" fontId="4" fillId="4" borderId="0" xfId="12" applyNumberFormat="1" applyFont="1" applyFill="1" applyBorder="1" applyAlignment="1"/>
    <xf numFmtId="0" fontId="5" fillId="4" borderId="0" xfId="12" applyFont="1" applyFill="1" applyBorder="1" applyAlignment="1"/>
    <xf numFmtId="0" fontId="13" fillId="4" borderId="0" xfId="13" applyFont="1" applyFill="1" applyBorder="1" applyAlignment="1">
      <alignment horizontal="center"/>
    </xf>
    <xf numFmtId="10" fontId="11" fillId="4" borderId="0" xfId="6" applyNumberFormat="1" applyFont="1" applyFill="1" applyBorder="1" applyAlignment="1">
      <alignment horizontal="center"/>
    </xf>
    <xf numFmtId="167" fontId="11" fillId="4" borderId="0" xfId="6" applyNumberFormat="1" applyFont="1" applyFill="1" applyBorder="1" applyAlignment="1">
      <alignment horizontal="center"/>
    </xf>
    <xf numFmtId="0" fontId="11" fillId="4" borderId="0" xfId="12" applyFont="1" applyFill="1" applyBorder="1" applyAlignment="1">
      <alignment horizontal="center"/>
    </xf>
    <xf numFmtId="167" fontId="11" fillId="4" borderId="0" xfId="12" applyNumberFormat="1" applyFont="1" applyFill="1" applyBorder="1" applyAlignment="1">
      <alignment horizontal="center"/>
    </xf>
    <xf numFmtId="0" fontId="11" fillId="4" borderId="11" xfId="12" applyFont="1" applyFill="1" applyBorder="1" applyAlignment="1"/>
    <xf numFmtId="167" fontId="4" fillId="4" borderId="11" xfId="7" applyNumberFormat="1" applyFont="1" applyFill="1" applyBorder="1" applyAlignment="1">
      <alignment horizontal="right"/>
    </xf>
    <xf numFmtId="167" fontId="4" fillId="4" borderId="11" xfId="7" applyNumberFormat="1" applyFont="1" applyFill="1" applyBorder="1"/>
    <xf numFmtId="10" fontId="4" fillId="4" borderId="0" xfId="7" applyNumberFormat="1" applyFont="1" applyFill="1" applyBorder="1"/>
    <xf numFmtId="0" fontId="5" fillId="4" borderId="0" xfId="15" applyFont="1" applyFill="1" applyAlignment="1"/>
    <xf numFmtId="0" fontId="11" fillId="4" borderId="0" xfId="12" applyFont="1" applyFill="1" applyBorder="1" applyProtection="1">
      <alignment vertical="top"/>
    </xf>
    <xf numFmtId="0" fontId="11" fillId="4" borderId="0" xfId="12" applyFont="1" applyFill="1" applyBorder="1" applyAlignment="1" applyProtection="1">
      <alignment horizontal="center"/>
    </xf>
    <xf numFmtId="175" fontId="4" fillId="4" borderId="0" xfId="22" applyNumberFormat="1" applyFont="1" applyFill="1" applyBorder="1" applyAlignment="1">
      <alignment horizontal="center"/>
    </xf>
    <xf numFmtId="169" fontId="4" fillId="4" borderId="0" xfId="23" applyNumberFormat="1" applyFont="1" applyFill="1" applyBorder="1" applyAlignment="1">
      <alignment horizontal="right"/>
    </xf>
    <xf numFmtId="0" fontId="12" fillId="4" borderId="11" xfId="12" applyFont="1" applyFill="1" applyBorder="1" applyAlignment="1"/>
    <xf numFmtId="169" fontId="5" fillId="4" borderId="11" xfId="23" applyNumberFormat="1" applyFont="1" applyFill="1" applyBorder="1" applyAlignment="1"/>
    <xf numFmtId="167" fontId="4" fillId="4" borderId="11" xfId="7" applyNumberFormat="1" applyFont="1" applyFill="1" applyBorder="1" applyAlignment="1"/>
    <xf numFmtId="0" fontId="12" fillId="4" borderId="0" xfId="12" applyFont="1" applyFill="1" applyBorder="1" applyAlignment="1"/>
    <xf numFmtId="169" fontId="5" fillId="4" borderId="0" xfId="23" applyNumberFormat="1" applyFont="1" applyFill="1" applyBorder="1" applyAlignment="1"/>
    <xf numFmtId="0" fontId="11" fillId="4" borderId="0" xfId="12" applyFont="1" applyFill="1" applyAlignment="1"/>
    <xf numFmtId="3" fontId="5" fillId="4" borderId="0" xfId="12" applyNumberFormat="1" applyFont="1" applyFill="1" applyBorder="1" applyAlignment="1"/>
    <xf numFmtId="0" fontId="4" fillId="4" borderId="0" xfId="12" applyFont="1" applyFill="1" applyBorder="1" applyAlignment="1">
      <alignment horizontal="center"/>
    </xf>
    <xf numFmtId="2" fontId="4" fillId="4" borderId="0" xfId="12" applyNumberFormat="1" applyFont="1" applyFill="1" applyBorder="1" applyAlignment="1">
      <alignment horizontal="center"/>
    </xf>
    <xf numFmtId="3" fontId="8" fillId="4" borderId="11" xfId="12" applyNumberFormat="1" applyFont="1" applyFill="1" applyBorder="1" applyAlignment="1"/>
    <xf numFmtId="0" fontId="5" fillId="4" borderId="11" xfId="12" applyFont="1" applyFill="1" applyBorder="1" applyAlignment="1"/>
    <xf numFmtId="10" fontId="4" fillId="4" borderId="11" xfId="7" applyNumberFormat="1" applyFont="1" applyFill="1" applyBorder="1" applyAlignment="1"/>
    <xf numFmtId="3" fontId="4" fillId="4" borderId="12" xfId="12" applyNumberFormat="1" applyFont="1" applyFill="1" applyBorder="1" applyAlignment="1"/>
    <xf numFmtId="0" fontId="11" fillId="4" borderId="12" xfId="12" applyFont="1" applyFill="1" applyBorder="1" applyAlignment="1"/>
    <xf numFmtId="10" fontId="4" fillId="4" borderId="12" xfId="7" applyNumberFormat="1" applyFont="1" applyFill="1" applyBorder="1" applyAlignment="1"/>
    <xf numFmtId="0" fontId="4" fillId="4" borderId="0" xfId="12" applyFont="1" applyFill="1" applyBorder="1" applyAlignment="1">
      <alignment horizontal="right"/>
    </xf>
    <xf numFmtId="0" fontId="12" fillId="4" borderId="0" xfId="12" applyFont="1" applyFill="1" applyBorder="1" applyAlignment="1">
      <alignment horizontal="right"/>
    </xf>
    <xf numFmtId="170" fontId="4" fillId="4" borderId="0" xfId="12" applyNumberFormat="1" applyFont="1" applyFill="1" applyBorder="1" applyAlignment="1">
      <alignment horizontal="center"/>
    </xf>
    <xf numFmtId="0" fontId="78" fillId="4" borderId="0" xfId="0" applyFont="1" applyFill="1" applyAlignment="1"/>
    <xf numFmtId="1" fontId="4" fillId="4" borderId="0" xfId="7" applyNumberFormat="1" applyFont="1" applyFill="1" applyBorder="1" applyAlignment="1"/>
    <xf numFmtId="9" fontId="4" fillId="4" borderId="0" xfId="7" applyFont="1" applyFill="1" applyBorder="1" applyAlignment="1"/>
    <xf numFmtId="0" fontId="13" fillId="4" borderId="0" xfId="13" applyFont="1" applyFill="1" applyBorder="1" applyAlignment="1">
      <alignment horizontal="right"/>
    </xf>
    <xf numFmtId="0" fontId="11" fillId="4" borderId="0" xfId="12" applyFont="1" applyFill="1" applyBorder="1" applyAlignment="1">
      <alignment horizontal="right"/>
    </xf>
    <xf numFmtId="4" fontId="4" fillId="4" borderId="0" xfId="12" applyNumberFormat="1" applyFont="1" applyFill="1" applyBorder="1" applyAlignment="1">
      <alignment horizontal="right"/>
    </xf>
    <xf numFmtId="167" fontId="4" fillId="4" borderId="0" xfId="7" applyNumberFormat="1" applyFont="1" applyFill="1" applyBorder="1" applyAlignment="1">
      <alignment horizontal="right"/>
    </xf>
    <xf numFmtId="164" fontId="4" fillId="4" borderId="0" xfId="12" applyNumberFormat="1" applyFont="1" applyFill="1" applyBorder="1" applyAlignment="1">
      <alignment horizontal="right"/>
    </xf>
    <xf numFmtId="0" fontId="7" fillId="7" borderId="0" xfId="12" applyFont="1" applyFill="1" applyAlignment="1">
      <alignment horizontal="centerContinuous"/>
    </xf>
    <xf numFmtId="0" fontId="16" fillId="7" borderId="0" xfId="12" applyFont="1" applyFill="1" applyAlignment="1">
      <alignment horizontal="centerContinuous"/>
    </xf>
    <xf numFmtId="0" fontId="11" fillId="7" borderId="0" xfId="12" applyFont="1" applyFill="1" applyAlignment="1">
      <alignment horizontal="centerContinuous"/>
    </xf>
    <xf numFmtId="0" fontId="4" fillId="7" borderId="0" xfId="12" applyFont="1" applyFill="1" applyAlignment="1">
      <alignment horizontal="centerContinuous"/>
    </xf>
    <xf numFmtId="0" fontId="5" fillId="7" borderId="1" xfId="12" applyFont="1" applyFill="1" applyBorder="1" applyAlignment="1">
      <alignment horizontal="centerContinuous" vertical="justify"/>
    </xf>
    <xf numFmtId="0" fontId="16" fillId="7" borderId="1" xfId="12" applyFont="1" applyFill="1" applyBorder="1" applyAlignment="1">
      <alignment horizontal="centerContinuous"/>
    </xf>
    <xf numFmtId="0" fontId="11" fillId="7" borderId="1" xfId="12" applyFont="1" applyFill="1" applyBorder="1" applyAlignment="1">
      <alignment horizontal="centerContinuous"/>
    </xf>
    <xf numFmtId="0" fontId="4" fillId="7" borderId="1" xfId="12" applyFont="1" applyFill="1" applyBorder="1" applyAlignment="1">
      <alignment horizontal="centerContinuous"/>
    </xf>
    <xf numFmtId="0" fontId="80" fillId="4" borderId="0" xfId="0" applyFont="1" applyFill="1"/>
    <xf numFmtId="9" fontId="80" fillId="4" borderId="0" xfId="0" applyNumberFormat="1" applyFont="1" applyFill="1"/>
    <xf numFmtId="197" fontId="80" fillId="4" borderId="0" xfId="6" applyNumberFormat="1" applyFont="1" applyFill="1"/>
    <xf numFmtId="197" fontId="80" fillId="4" borderId="0" xfId="0" applyNumberFormat="1" applyFont="1" applyFill="1"/>
    <xf numFmtId="9" fontId="80" fillId="4" borderId="0" xfId="6" applyFont="1" applyFill="1"/>
    <xf numFmtId="2" fontId="8" fillId="4" borderId="4" xfId="13" applyNumberFormat="1" applyFont="1" applyFill="1" applyBorder="1" applyAlignment="1"/>
    <xf numFmtId="168" fontId="78" fillId="4" borderId="0" xfId="0" applyNumberFormat="1" applyFont="1" applyFill="1"/>
    <xf numFmtId="167" fontId="80" fillId="4" borderId="0" xfId="0" applyNumberFormat="1" applyFont="1" applyFill="1"/>
    <xf numFmtId="0" fontId="2" fillId="10" borderId="0" xfId="0" applyFont="1" applyFill="1" applyBorder="1"/>
    <xf numFmtId="0" fontId="81" fillId="4" borderId="0" xfId="0" applyFont="1" applyFill="1"/>
    <xf numFmtId="0" fontId="5" fillId="11" borderId="0" xfId="0" applyFont="1" applyFill="1" applyAlignment="1" applyProtection="1">
      <alignment vertical="top"/>
    </xf>
    <xf numFmtId="0" fontId="4" fillId="11" borderId="0" xfId="0" applyFont="1" applyFill="1" applyAlignment="1" applyProtection="1">
      <alignment vertical="top"/>
    </xf>
    <xf numFmtId="0" fontId="4" fillId="11" borderId="0" xfId="0" applyFont="1" applyFill="1" applyAlignment="1"/>
    <xf numFmtId="0" fontId="4" fillId="11" borderId="0" xfId="0" applyFont="1" applyFill="1" applyBorder="1" applyAlignment="1" applyProtection="1">
      <alignment vertical="top"/>
    </xf>
    <xf numFmtId="0" fontId="5" fillId="11" borderId="0" xfId="0" applyFont="1" applyFill="1" applyBorder="1" applyAlignment="1" applyProtection="1">
      <alignment vertical="top"/>
    </xf>
    <xf numFmtId="0" fontId="5" fillId="12" borderId="0" xfId="0" applyFont="1" applyFill="1" applyAlignment="1" applyProtection="1">
      <alignment vertical="top"/>
    </xf>
    <xf numFmtId="0" fontId="4" fillId="12" borderId="0" xfId="0" applyFont="1" applyFill="1" applyAlignment="1" applyProtection="1">
      <alignment vertical="top"/>
    </xf>
    <xf numFmtId="0" fontId="4" fillId="12" borderId="0" xfId="0" applyFont="1" applyFill="1" applyAlignment="1"/>
    <xf numFmtId="0" fontId="4" fillId="12" borderId="0" xfId="0" applyFont="1" applyFill="1" applyBorder="1" applyAlignment="1" applyProtection="1">
      <alignment vertical="top"/>
    </xf>
    <xf numFmtId="0" fontId="5" fillId="12" borderId="0" xfId="0" applyFont="1" applyFill="1" applyBorder="1" applyAlignment="1" applyProtection="1">
      <alignment vertical="top"/>
    </xf>
    <xf numFmtId="0" fontId="4" fillId="11" borderId="0" xfId="0" applyFont="1" applyFill="1" applyBorder="1" applyAlignment="1"/>
    <xf numFmtId="0" fontId="4" fillId="11" borderId="0" xfId="0" applyFont="1" applyFill="1" applyBorder="1" applyAlignment="1" applyProtection="1">
      <alignment horizontal="centerContinuous"/>
    </xf>
    <xf numFmtId="10" fontId="0" fillId="4" borderId="0" xfId="0" applyNumberFormat="1" applyFill="1"/>
    <xf numFmtId="2" fontId="83" fillId="13" borderId="4" xfId="13" applyNumberFormat="1" applyFont="1" applyFill="1" applyBorder="1" applyAlignment="1"/>
    <xf numFmtId="9" fontId="0" fillId="4" borderId="0" xfId="0" applyNumberFormat="1" applyFill="1"/>
    <xf numFmtId="0" fontId="7" fillId="11" borderId="0" xfId="0" applyFont="1" applyFill="1" applyAlignment="1" applyProtection="1">
      <alignment horizontal="centerContinuous"/>
    </xf>
    <xf numFmtId="0" fontId="4" fillId="11" borderId="0" xfId="0" applyFont="1" applyFill="1" applyAlignment="1" applyProtection="1">
      <alignment horizontal="centerContinuous"/>
    </xf>
    <xf numFmtId="0" fontId="4" fillId="3" borderId="0" xfId="0" applyFont="1" applyFill="1" applyAlignment="1" applyProtection="1">
      <alignment horizontal="centerContinuous"/>
    </xf>
    <xf numFmtId="0" fontId="8" fillId="11" borderId="0" xfId="0" quotePrefix="1" applyFont="1" applyFill="1" applyBorder="1" applyAlignment="1" applyProtection="1">
      <alignment vertical="top"/>
    </xf>
    <xf numFmtId="0" fontId="4" fillId="3" borderId="0" xfId="0" applyFont="1" applyFill="1" applyBorder="1" applyAlignment="1" applyProtection="1">
      <alignment horizontal="centerContinuous"/>
    </xf>
    <xf numFmtId="0" fontId="26" fillId="11" borderId="0" xfId="0" applyFont="1" applyFill="1" applyBorder="1" applyAlignment="1">
      <alignment horizontal="centerContinuous"/>
    </xf>
    <xf numFmtId="0" fontId="26" fillId="11" borderId="37" xfId="0" applyFont="1" applyFill="1" applyBorder="1" applyAlignment="1" applyProtection="1">
      <alignment horizontal="centerContinuous"/>
    </xf>
    <xf numFmtId="0" fontId="5" fillId="11" borderId="37" xfId="0" applyFont="1" applyFill="1" applyBorder="1" applyAlignment="1" applyProtection="1">
      <alignment horizontal="centerContinuous"/>
    </xf>
    <xf numFmtId="0" fontId="5" fillId="3" borderId="37" xfId="0" applyFont="1" applyFill="1" applyBorder="1" applyAlignment="1" applyProtection="1">
      <alignment horizontal="centerContinuous"/>
    </xf>
    <xf numFmtId="186" fontId="10" fillId="11" borderId="0" xfId="0" quotePrefix="1" applyNumberFormat="1" applyFont="1" applyFill="1" applyAlignment="1" applyProtection="1">
      <alignment horizontal="right"/>
    </xf>
    <xf numFmtId="185" fontId="10" fillId="11" borderId="0" xfId="0" quotePrefix="1" applyNumberFormat="1" applyFont="1" applyFill="1" applyBorder="1" applyAlignment="1" applyProtection="1">
      <alignment horizontal="right"/>
    </xf>
    <xf numFmtId="0" fontId="10" fillId="11" borderId="0" xfId="0" applyFont="1" applyFill="1" applyAlignment="1" applyProtection="1">
      <alignment horizontal="right"/>
    </xf>
    <xf numFmtId="0" fontId="10" fillId="3" borderId="0" xfId="0" applyFont="1" applyFill="1" applyAlignment="1" applyProtection="1">
      <alignment horizontal="right"/>
    </xf>
    <xf numFmtId="0" fontId="10" fillId="11" borderId="0" xfId="0" applyFont="1" applyFill="1" applyBorder="1" applyAlignment="1">
      <alignment horizontal="right"/>
    </xf>
    <xf numFmtId="180" fontId="10" fillId="11" borderId="0" xfId="0" quotePrefix="1" applyNumberFormat="1" applyFont="1" applyFill="1" applyBorder="1" applyAlignment="1" applyProtection="1">
      <alignment horizontal="right"/>
    </xf>
    <xf numFmtId="180" fontId="10" fillId="3" borderId="0" xfId="0" quotePrefix="1" applyNumberFormat="1" applyFont="1" applyFill="1" applyBorder="1" applyAlignment="1" applyProtection="1">
      <alignment horizontal="right"/>
    </xf>
    <xf numFmtId="183" fontId="4" fillId="11" borderId="0" xfId="0" applyNumberFormat="1" applyFont="1" applyFill="1" applyAlignment="1" applyProtection="1">
      <alignment vertical="top"/>
    </xf>
    <xf numFmtId="183" fontId="4" fillId="3" borderId="0" xfId="0" applyNumberFormat="1" applyFont="1" applyFill="1" applyAlignment="1" applyProtection="1">
      <alignment vertical="top"/>
    </xf>
    <xf numFmtId="182" fontId="4" fillId="11" borderId="0" xfId="0" applyNumberFormat="1" applyFont="1" applyFill="1" applyAlignment="1" applyProtection="1">
      <alignment vertical="top"/>
    </xf>
    <xf numFmtId="183" fontId="4" fillId="11" borderId="0" xfId="0" applyNumberFormat="1" applyFont="1" applyFill="1" applyBorder="1" applyAlignment="1" applyProtection="1">
      <alignment vertical="top"/>
    </xf>
    <xf numFmtId="183" fontId="4" fillId="11" borderId="37" xfId="0" applyNumberFormat="1" applyFont="1" applyFill="1" applyBorder="1" applyAlignment="1" applyProtection="1">
      <alignment vertical="top"/>
    </xf>
    <xf numFmtId="183" fontId="4" fillId="11" borderId="38" xfId="0" applyNumberFormat="1" applyFont="1" applyFill="1" applyBorder="1" applyAlignment="1" applyProtection="1">
      <alignment vertical="top"/>
    </xf>
    <xf numFmtId="167" fontId="4" fillId="11" borderId="0" xfId="6" applyNumberFormat="1" applyFont="1" applyFill="1" applyBorder="1" applyAlignment="1" applyProtection="1">
      <alignment vertical="top"/>
    </xf>
    <xf numFmtId="183" fontId="5" fillId="11" borderId="0" xfId="0" applyNumberFormat="1" applyFont="1" applyFill="1" applyBorder="1" applyAlignment="1" applyProtection="1">
      <alignment vertical="top"/>
    </xf>
    <xf numFmtId="183" fontId="5" fillId="11" borderId="39" xfId="0" applyNumberFormat="1" applyFont="1" applyFill="1" applyBorder="1" applyAlignment="1" applyProtection="1">
      <alignment vertical="top"/>
    </xf>
    <xf numFmtId="0" fontId="36" fillId="11" borderId="0" xfId="0" applyFont="1" applyFill="1" applyBorder="1" applyAlignment="1" applyProtection="1">
      <alignment vertical="top"/>
    </xf>
    <xf numFmtId="182" fontId="4" fillId="11" borderId="0" xfId="0" applyNumberFormat="1" applyFont="1" applyFill="1" applyBorder="1" applyAlignment="1" applyProtection="1">
      <alignment vertical="top"/>
    </xf>
    <xf numFmtId="182" fontId="4" fillId="11" borderId="0" xfId="22" applyNumberFormat="1" applyFont="1" applyFill="1" applyBorder="1" applyProtection="1"/>
    <xf numFmtId="183" fontId="5" fillId="11" borderId="38" xfId="0" applyNumberFormat="1" applyFont="1" applyFill="1" applyBorder="1" applyAlignment="1" applyProtection="1">
      <alignment vertical="top"/>
    </xf>
    <xf numFmtId="182" fontId="4" fillId="11" borderId="37" xfId="0" applyNumberFormat="1" applyFont="1" applyFill="1" applyBorder="1" applyAlignment="1" applyProtection="1">
      <alignment vertical="top"/>
    </xf>
    <xf numFmtId="167" fontId="4" fillId="11" borderId="0" xfId="6" applyNumberFormat="1" applyFont="1" applyFill="1" applyAlignment="1" applyProtection="1">
      <alignment vertical="top"/>
    </xf>
    <xf numFmtId="167" fontId="4" fillId="11" borderId="0" xfId="0" applyNumberFormat="1" applyFont="1" applyFill="1" applyAlignment="1" applyProtection="1">
      <alignment vertical="top"/>
    </xf>
    <xf numFmtId="10" fontId="4" fillId="11" borderId="0" xfId="6" applyNumberFormat="1" applyFont="1" applyFill="1" applyAlignment="1" applyProtection="1">
      <alignment vertical="top"/>
    </xf>
    <xf numFmtId="183" fontId="5" fillId="3" borderId="0" xfId="0" applyNumberFormat="1" applyFont="1" applyFill="1" applyBorder="1" applyAlignment="1" applyProtection="1">
      <alignment vertical="top"/>
    </xf>
    <xf numFmtId="183" fontId="5" fillId="11" borderId="40" xfId="0" applyNumberFormat="1" applyFont="1" applyFill="1" applyBorder="1" applyAlignment="1" applyProtection="1">
      <alignment vertical="top"/>
    </xf>
    <xf numFmtId="0" fontId="4" fillId="11" borderId="37" xfId="0" applyFont="1" applyFill="1" applyBorder="1" applyAlignment="1" applyProtection="1">
      <alignment vertical="top"/>
    </xf>
    <xf numFmtId="0" fontId="36" fillId="11" borderId="37" xfId="0" applyFont="1" applyFill="1" applyBorder="1" applyAlignment="1" applyProtection="1">
      <alignment vertical="top"/>
    </xf>
    <xf numFmtId="7" fontId="4" fillId="11" borderId="37" xfId="0" applyNumberFormat="1" applyFont="1" applyFill="1" applyBorder="1" applyAlignment="1" applyProtection="1">
      <alignment vertical="top"/>
    </xf>
    <xf numFmtId="0" fontId="4" fillId="3" borderId="37" xfId="0" applyFont="1" applyFill="1" applyBorder="1" applyAlignment="1" applyProtection="1">
      <alignment vertical="top"/>
    </xf>
    <xf numFmtId="0" fontId="4" fillId="3" borderId="0" xfId="0" applyFont="1" applyFill="1" applyBorder="1" applyAlignment="1" applyProtection="1">
      <alignment vertical="top"/>
    </xf>
    <xf numFmtId="0" fontId="12" fillId="11" borderId="0" xfId="0" applyFont="1" applyFill="1" applyAlignment="1"/>
    <xf numFmtId="3" fontId="12" fillId="11" borderId="0" xfId="0" applyNumberFormat="1" applyFont="1" applyFill="1" applyBorder="1" applyAlignment="1">
      <alignment horizontal="right"/>
    </xf>
    <xf numFmtId="3" fontId="12" fillId="11" borderId="0" xfId="0" applyNumberFormat="1" applyFont="1" applyFill="1" applyBorder="1" applyAlignment="1">
      <alignment horizontal="left"/>
    </xf>
    <xf numFmtId="0" fontId="12" fillId="11" borderId="0" xfId="0" applyFont="1" applyFill="1" applyBorder="1" applyAlignment="1">
      <alignment horizontal="right"/>
    </xf>
    <xf numFmtId="1" fontId="12" fillId="11" borderId="0" xfId="0" applyNumberFormat="1" applyFont="1" applyFill="1" applyBorder="1" applyAlignment="1">
      <alignment horizontal="left"/>
    </xf>
    <xf numFmtId="1" fontId="12" fillId="3" borderId="0" xfId="0" applyNumberFormat="1" applyFont="1" applyFill="1" applyBorder="1" applyAlignment="1">
      <alignment horizontal="left"/>
    </xf>
    <xf numFmtId="0" fontId="5" fillId="11" borderId="1" xfId="0" applyFont="1" applyFill="1" applyBorder="1" applyAlignment="1" applyProtection="1">
      <alignment horizontal="centerContinuous"/>
    </xf>
    <xf numFmtId="0" fontId="4" fillId="11" borderId="1" xfId="0" applyFont="1" applyFill="1" applyBorder="1" applyAlignment="1" applyProtection="1">
      <alignment horizontal="centerContinuous"/>
    </xf>
    <xf numFmtId="0" fontId="4" fillId="3" borderId="1" xfId="0" applyFont="1" applyFill="1" applyBorder="1" applyAlignment="1" applyProtection="1">
      <alignment horizontal="centerContinuous"/>
    </xf>
    <xf numFmtId="170" fontId="4" fillId="11" borderId="0" xfId="0" applyNumberFormat="1" applyFont="1" applyFill="1" applyBorder="1" applyAlignment="1" applyProtection="1">
      <alignment vertical="top"/>
    </xf>
    <xf numFmtId="170" fontId="4" fillId="3" borderId="0" xfId="0" applyNumberFormat="1" applyFont="1" applyFill="1" applyBorder="1" applyAlignment="1" applyProtection="1">
      <alignment vertical="top"/>
    </xf>
    <xf numFmtId="170" fontId="4" fillId="11" borderId="37" xfId="0" applyNumberFormat="1" applyFont="1" applyFill="1" applyBorder="1" applyAlignment="1" applyProtection="1">
      <alignment vertical="top"/>
    </xf>
    <xf numFmtId="170" fontId="4" fillId="11" borderId="39" xfId="0" applyNumberFormat="1" applyFont="1" applyFill="1" applyBorder="1" applyAlignment="1" applyProtection="1">
      <alignment vertical="top"/>
    </xf>
    <xf numFmtId="170" fontId="5" fillId="11" borderId="0" xfId="0" applyNumberFormat="1" applyFont="1" applyFill="1" applyBorder="1" applyAlignment="1" applyProtection="1">
      <alignment vertical="top"/>
    </xf>
    <xf numFmtId="182" fontId="5" fillId="11" borderId="0" xfId="0" applyNumberFormat="1" applyFont="1" applyFill="1" applyBorder="1" applyAlignment="1" applyProtection="1">
      <alignment vertical="top"/>
    </xf>
    <xf numFmtId="6" fontId="5" fillId="11" borderId="0" xfId="0" applyNumberFormat="1" applyFont="1" applyFill="1" applyBorder="1" applyAlignment="1" applyProtection="1">
      <alignment horizontal="left"/>
    </xf>
    <xf numFmtId="182" fontId="5" fillId="11" borderId="39" xfId="0" applyNumberFormat="1" applyFont="1" applyFill="1" applyBorder="1" applyAlignment="1" applyProtection="1">
      <alignment vertical="top"/>
    </xf>
    <xf numFmtId="182" fontId="5" fillId="3" borderId="39" xfId="0" applyNumberFormat="1" applyFont="1" applyFill="1" applyBorder="1" applyAlignment="1" applyProtection="1">
      <alignment vertical="top"/>
    </xf>
    <xf numFmtId="0" fontId="0" fillId="0" borderId="0" xfId="0"/>
    <xf numFmtId="180" fontId="10" fillId="11" borderId="0" xfId="0" applyNumberFormat="1" applyFont="1" applyFill="1" applyBorder="1" applyAlignment="1" applyProtection="1">
      <alignment horizontal="right"/>
    </xf>
    <xf numFmtId="180" fontId="10" fillId="3" borderId="0" xfId="0" applyNumberFormat="1" applyFont="1" applyFill="1" applyBorder="1" applyAlignment="1" applyProtection="1">
      <alignment horizontal="right"/>
    </xf>
    <xf numFmtId="200" fontId="57" fillId="10" borderId="0" xfId="0" applyNumberFormat="1" applyFont="1" applyFill="1" applyBorder="1"/>
    <xf numFmtId="10" fontId="0" fillId="10" borderId="3" xfId="0" applyNumberFormat="1" applyFill="1" applyBorder="1"/>
    <xf numFmtId="9" fontId="0" fillId="10" borderId="3" xfId="0" applyNumberFormat="1" applyFill="1" applyBorder="1"/>
    <xf numFmtId="0" fontId="81" fillId="10" borderId="6" xfId="0" applyFont="1" applyFill="1" applyBorder="1"/>
    <xf numFmtId="0" fontId="0" fillId="10" borderId="37" xfId="0" applyFill="1" applyBorder="1"/>
    <xf numFmtId="201" fontId="0" fillId="10" borderId="7" xfId="0" applyNumberFormat="1" applyFill="1" applyBorder="1"/>
    <xf numFmtId="0" fontId="85" fillId="7" borderId="41" xfId="0" applyFont="1" applyFill="1" applyBorder="1"/>
    <xf numFmtId="0" fontId="84" fillId="7" borderId="42" xfId="0" applyFont="1" applyFill="1" applyBorder="1"/>
    <xf numFmtId="0" fontId="0" fillId="7" borderId="43" xfId="0" applyFill="1" applyBorder="1"/>
    <xf numFmtId="9" fontId="0" fillId="10" borderId="7" xfId="0" applyNumberFormat="1" applyFill="1" applyBorder="1"/>
    <xf numFmtId="10" fontId="11" fillId="4" borderId="0" xfId="13" applyNumberFormat="1" applyFont="1" applyFill="1" applyBorder="1" applyProtection="1">
      <alignment vertical="top"/>
    </xf>
    <xf numFmtId="0" fontId="8" fillId="14" borderId="44" xfId="0" applyFont="1" applyFill="1" applyBorder="1" applyAlignment="1"/>
    <xf numFmtId="0" fontId="5" fillId="14" borderId="45" xfId="0" applyFont="1" applyFill="1" applyBorder="1" applyAlignment="1"/>
    <xf numFmtId="0" fontId="5" fillId="14" borderId="46" xfId="0" applyFont="1" applyFill="1" applyBorder="1" applyAlignment="1">
      <alignment horizontal="right"/>
    </xf>
    <xf numFmtId="0" fontId="4" fillId="11" borderId="41" xfId="0" applyFont="1" applyFill="1" applyBorder="1" applyAlignment="1"/>
    <xf numFmtId="0" fontId="4" fillId="11" borderId="42" xfId="0" applyFont="1" applyFill="1" applyBorder="1" applyAlignment="1"/>
    <xf numFmtId="0" fontId="4" fillId="11" borderId="43" xfId="0" applyFont="1" applyFill="1" applyBorder="1" applyAlignment="1"/>
    <xf numFmtId="0" fontId="4" fillId="11" borderId="9" xfId="0" applyFont="1" applyFill="1" applyBorder="1" applyAlignment="1">
      <alignment horizontal="left"/>
    </xf>
    <xf numFmtId="171" fontId="9" fillId="11" borderId="0" xfId="0" applyNumberFormat="1" applyFont="1" applyFill="1" applyBorder="1" applyAlignment="1"/>
    <xf numFmtId="171" fontId="9" fillId="11" borderId="3" xfId="0" applyNumberFormat="1" applyFont="1" applyFill="1" applyBorder="1" applyAlignment="1"/>
    <xf numFmtId="0" fontId="4" fillId="11" borderId="9" xfId="0" quotePrefix="1" applyFont="1" applyFill="1" applyBorder="1" applyAlignment="1" applyProtection="1">
      <alignment horizontal="left" vertical="top"/>
    </xf>
    <xf numFmtId="183" fontId="4" fillId="11" borderId="0" xfId="0" applyNumberFormat="1" applyFont="1" applyFill="1" applyBorder="1" applyAlignment="1"/>
    <xf numFmtId="0" fontId="4" fillId="11" borderId="6" xfId="0" applyFont="1" applyFill="1" applyBorder="1" applyAlignment="1"/>
    <xf numFmtId="0" fontId="4" fillId="11" borderId="37" xfId="0" applyFont="1" applyFill="1" applyBorder="1" applyAlignment="1"/>
    <xf numFmtId="172" fontId="4" fillId="11" borderId="37" xfId="0" applyNumberFormat="1" applyFont="1" applyFill="1" applyBorder="1" applyAlignment="1"/>
    <xf numFmtId="172" fontId="6" fillId="11" borderId="37" xfId="0" applyNumberFormat="1" applyFont="1" applyFill="1" applyBorder="1" applyAlignment="1"/>
    <xf numFmtId="0" fontId="4" fillId="11" borderId="7" xfId="0" applyFont="1" applyFill="1" applyBorder="1" applyAlignment="1"/>
    <xf numFmtId="192" fontId="5" fillId="4" borderId="0" xfId="13" applyNumberFormat="1" applyFont="1" applyFill="1" applyBorder="1" applyAlignment="1">
      <alignment horizontal="right"/>
    </xf>
    <xf numFmtId="4" fontId="4" fillId="11" borderId="0" xfId="0" applyNumberFormat="1" applyFont="1" applyFill="1" applyBorder="1" applyAlignment="1" applyProtection="1">
      <alignment vertical="top"/>
    </xf>
    <xf numFmtId="167" fontId="5" fillId="11" borderId="0" xfId="0" applyNumberFormat="1" applyFont="1" applyFill="1" applyBorder="1" applyAlignment="1" applyProtection="1">
      <alignment vertical="top"/>
    </xf>
    <xf numFmtId="184" fontId="5" fillId="11" borderId="0" xfId="0" applyNumberFormat="1" applyFont="1" applyFill="1" applyBorder="1" applyAlignment="1" applyProtection="1">
      <alignment vertical="top"/>
    </xf>
    <xf numFmtId="0" fontId="4" fillId="11" borderId="9" xfId="0" applyFont="1" applyFill="1" applyBorder="1" applyAlignment="1" applyProtection="1">
      <alignment horizontal="left" vertical="top"/>
    </xf>
    <xf numFmtId="0" fontId="81" fillId="0" borderId="0" xfId="0" applyFont="1"/>
    <xf numFmtId="2" fontId="0" fillId="0" borderId="0" xfId="0" applyNumberFormat="1"/>
    <xf numFmtId="10" fontId="0" fillId="0" borderId="0" xfId="0" applyNumberFormat="1"/>
    <xf numFmtId="0" fontId="5" fillId="11" borderId="0" xfId="0" applyFont="1" applyFill="1" applyAlignment="1">
      <alignment horizontal="centerContinuous"/>
    </xf>
    <xf numFmtId="0" fontId="12" fillId="11" borderId="0" xfId="0" applyFont="1" applyFill="1" applyAlignment="1">
      <alignment horizontal="centerContinuous"/>
    </xf>
    <xf numFmtId="0" fontId="4" fillId="11" borderId="0" xfId="0" applyFont="1" applyFill="1" applyAlignment="1">
      <alignment horizontal="centerContinuous"/>
    </xf>
    <xf numFmtId="0" fontId="12" fillId="3" borderId="0" xfId="0" applyFont="1" applyFill="1" applyAlignment="1"/>
    <xf numFmtId="0" fontId="86" fillId="11" borderId="0" xfId="0" applyFont="1" applyFill="1" applyBorder="1" applyAlignment="1">
      <alignment vertical="top"/>
    </xf>
    <xf numFmtId="0" fontId="21" fillId="11" borderId="0" xfId="0" applyFont="1" applyFill="1" applyBorder="1" applyAlignment="1">
      <alignment vertical="top"/>
    </xf>
    <xf numFmtId="0" fontId="7" fillId="11" borderId="0" xfId="0" applyFont="1" applyFill="1" applyAlignment="1">
      <alignment horizontal="centerContinuous" vertical="justify"/>
    </xf>
    <xf numFmtId="0" fontId="5" fillId="11" borderId="1" xfId="0" applyFont="1" applyFill="1" applyBorder="1" applyAlignment="1">
      <alignment horizontal="centerContinuous" vertical="justify"/>
    </xf>
    <xf numFmtId="0" fontId="4" fillId="11" borderId="1" xfId="0" applyFont="1" applyFill="1" applyBorder="1" applyAlignment="1">
      <alignment horizontal="centerContinuous"/>
    </xf>
    <xf numFmtId="0" fontId="5" fillId="11" borderId="0" xfId="0" applyFont="1" applyFill="1" applyAlignment="1"/>
    <xf numFmtId="0" fontId="5" fillId="11" borderId="0" xfId="0" applyFont="1" applyFill="1" applyAlignment="1">
      <alignment horizontal="center"/>
    </xf>
    <xf numFmtId="0" fontId="5" fillId="11" borderId="0" xfId="0" applyFont="1" applyFill="1" applyAlignment="1">
      <alignment horizontal="right"/>
    </xf>
    <xf numFmtId="10" fontId="4" fillId="15" borderId="22" xfId="0" applyNumberFormat="1" applyFont="1" applyFill="1" applyBorder="1" applyAlignment="1"/>
    <xf numFmtId="9" fontId="4" fillId="15" borderId="22" xfId="0" applyNumberFormat="1" applyFont="1" applyFill="1" applyBorder="1" applyAlignment="1"/>
    <xf numFmtId="10" fontId="4" fillId="11" borderId="0" xfId="0" applyNumberFormat="1" applyFont="1" applyFill="1" applyBorder="1" applyAlignment="1"/>
    <xf numFmtId="0" fontId="5" fillId="11" borderId="0" xfId="0" applyFont="1" applyFill="1" applyBorder="1" applyAlignment="1"/>
    <xf numFmtId="0" fontId="26" fillId="11" borderId="37" xfId="0" applyFont="1" applyFill="1" applyBorder="1" applyAlignment="1">
      <alignment horizontal="centerContinuous"/>
    </xf>
    <xf numFmtId="180" fontId="10" fillId="11" borderId="0" xfId="0" applyNumberFormat="1" applyFont="1" applyFill="1" applyBorder="1" applyAlignment="1">
      <alignment horizontal="right"/>
    </xf>
    <xf numFmtId="195" fontId="21" fillId="11" borderId="0" xfId="0" applyNumberFormat="1" applyFont="1" applyFill="1" applyBorder="1" applyAlignment="1">
      <alignment vertical="top"/>
    </xf>
    <xf numFmtId="195" fontId="9" fillId="11" borderId="0" xfId="0" applyNumberFormat="1" applyFont="1" applyFill="1" applyBorder="1" applyAlignment="1">
      <alignment vertical="top"/>
    </xf>
    <xf numFmtId="0" fontId="11" fillId="11" borderId="0" xfId="0" applyFont="1" applyFill="1" applyAlignment="1">
      <alignment vertical="top"/>
    </xf>
    <xf numFmtId="2" fontId="21" fillId="11" borderId="0" xfId="0" applyNumberFormat="1" applyFont="1" applyFill="1" applyBorder="1" applyAlignment="1">
      <alignment vertical="top"/>
    </xf>
    <xf numFmtId="4" fontId="21" fillId="11" borderId="0" xfId="0" applyNumberFormat="1" applyFont="1" applyFill="1" applyBorder="1" applyAlignment="1">
      <alignment vertical="top"/>
    </xf>
    <xf numFmtId="167" fontId="4" fillId="11" borderId="0" xfId="6" applyNumberFormat="1" applyFont="1" applyFill="1" applyBorder="1" applyAlignment="1"/>
    <xf numFmtId="0" fontId="4" fillId="11" borderId="12" xfId="0" applyFont="1" applyFill="1" applyBorder="1" applyAlignment="1"/>
    <xf numFmtId="0" fontId="21" fillId="11" borderId="12" xfId="0" applyFont="1" applyFill="1" applyBorder="1" applyAlignment="1">
      <alignment vertical="top"/>
    </xf>
    <xf numFmtId="0" fontId="19" fillId="11" borderId="47" xfId="0" applyFont="1" applyFill="1" applyBorder="1" applyAlignment="1">
      <alignment vertical="top"/>
    </xf>
    <xf numFmtId="0" fontId="19" fillId="11" borderId="48" xfId="0" applyFont="1" applyFill="1" applyBorder="1" applyAlignment="1">
      <alignment vertical="top"/>
    </xf>
    <xf numFmtId="0" fontId="87" fillId="11" borderId="48" xfId="0" applyFont="1" applyFill="1" applyBorder="1" applyAlignment="1">
      <alignment horizontal="right"/>
    </xf>
    <xf numFmtId="0" fontId="19" fillId="11" borderId="49" xfId="0" applyFont="1" applyFill="1" applyBorder="1" applyAlignment="1">
      <alignment vertical="top"/>
    </xf>
    <xf numFmtId="0" fontId="19" fillId="11" borderId="50" xfId="0" applyFont="1" applyFill="1" applyBorder="1" applyAlignment="1">
      <alignment vertical="top"/>
    </xf>
    <xf numFmtId="0" fontId="19" fillId="11" borderId="1" xfId="0" applyFont="1" applyFill="1" applyBorder="1" applyAlignment="1">
      <alignment vertical="top"/>
    </xf>
    <xf numFmtId="0" fontId="5" fillId="11" borderId="1" xfId="0" applyFont="1" applyFill="1" applyBorder="1" applyAlignment="1"/>
    <xf numFmtId="195" fontId="19" fillId="11" borderId="1" xfId="0" applyNumberFormat="1" applyFont="1" applyFill="1" applyBorder="1" applyAlignment="1">
      <alignment vertical="top"/>
    </xf>
    <xf numFmtId="10" fontId="19" fillId="11" borderId="1" xfId="6" applyNumberFormat="1" applyFont="1" applyFill="1" applyBorder="1"/>
    <xf numFmtId="0" fontId="19" fillId="11" borderId="51" xfId="0" applyFont="1" applyFill="1" applyBorder="1" applyAlignment="1">
      <alignment vertical="top"/>
    </xf>
    <xf numFmtId="167" fontId="4" fillId="11" borderId="0" xfId="0" applyNumberFormat="1" applyFont="1" applyFill="1" applyBorder="1" applyAlignment="1"/>
    <xf numFmtId="196" fontId="4" fillId="11" borderId="0" xfId="0" applyNumberFormat="1" applyFont="1" applyFill="1" applyBorder="1" applyAlignment="1"/>
    <xf numFmtId="10" fontId="21" fillId="11" borderId="0" xfId="6" applyNumberFormat="1" applyFont="1" applyFill="1" applyBorder="1"/>
    <xf numFmtId="10" fontId="9" fillId="11" borderId="0" xfId="0" applyNumberFormat="1" applyFont="1" applyFill="1" applyBorder="1" applyAlignment="1"/>
    <xf numFmtId="0" fontId="19" fillId="11" borderId="44" xfId="0" applyFont="1" applyFill="1" applyBorder="1" applyAlignment="1">
      <alignment vertical="top"/>
    </xf>
    <xf numFmtId="0" fontId="19" fillId="11" borderId="45" xfId="0" applyFont="1" applyFill="1" applyBorder="1" applyAlignment="1">
      <alignment vertical="top"/>
    </xf>
    <xf numFmtId="0" fontId="4" fillId="11" borderId="45" xfId="0" applyFont="1" applyFill="1" applyBorder="1" applyAlignment="1"/>
    <xf numFmtId="2" fontId="4" fillId="11" borderId="45" xfId="0" applyNumberFormat="1" applyFont="1" applyFill="1" applyBorder="1" applyAlignment="1"/>
    <xf numFmtId="2" fontId="21" fillId="11" borderId="45" xfId="0" applyNumberFormat="1" applyFont="1" applyFill="1" applyBorder="1" applyAlignment="1">
      <alignment vertical="top"/>
    </xf>
    <xf numFmtId="2" fontId="21" fillId="11" borderId="46" xfId="0" applyNumberFormat="1" applyFont="1" applyFill="1" applyBorder="1" applyAlignment="1">
      <alignment vertical="top"/>
    </xf>
    <xf numFmtId="0" fontId="19" fillId="11" borderId="0" xfId="0" applyFont="1" applyFill="1" applyBorder="1" applyAlignment="1">
      <alignment vertical="top"/>
    </xf>
    <xf numFmtId="2" fontId="4" fillId="11" borderId="0" xfId="0" applyNumberFormat="1" applyFont="1" applyFill="1" applyBorder="1" applyAlignment="1"/>
    <xf numFmtId="0" fontId="8" fillId="11" borderId="0" xfId="62" quotePrefix="1" applyFont="1" applyFill="1" applyAlignment="1" applyProtection="1">
      <alignment horizontal="left"/>
    </xf>
    <xf numFmtId="0" fontId="5" fillId="0" borderId="37" xfId="62" applyFont="1" applyBorder="1" applyAlignment="1" applyProtection="1">
      <alignment horizontal="centerContinuous"/>
    </xf>
    <xf numFmtId="0" fontId="10" fillId="11" borderId="37" xfId="62" quotePrefix="1" applyFont="1" applyFill="1" applyBorder="1" applyAlignment="1" applyProtection="1">
      <alignment horizontal="centerContinuous"/>
    </xf>
    <xf numFmtId="167" fontId="88" fillId="15" borderId="37" xfId="0" applyNumberFormat="1" applyFont="1" applyFill="1" applyBorder="1" applyAlignment="1" applyProtection="1">
      <alignment horizontal="right"/>
    </xf>
    <xf numFmtId="167" fontId="26" fillId="11" borderId="37" xfId="0" applyNumberFormat="1" applyFont="1" applyFill="1" applyBorder="1" applyAlignment="1" applyProtection="1">
      <alignment vertical="top"/>
    </xf>
    <xf numFmtId="167" fontId="8" fillId="11" borderId="37" xfId="0" applyNumberFormat="1" applyFont="1" applyFill="1" applyBorder="1" applyAlignment="1" applyProtection="1">
      <alignment vertical="top"/>
    </xf>
    <xf numFmtId="167" fontId="89" fillId="15" borderId="22" xfId="0" applyNumberFormat="1" applyFont="1" applyFill="1" applyBorder="1" applyAlignment="1" applyProtection="1">
      <alignment horizontal="center"/>
    </xf>
    <xf numFmtId="167" fontId="89" fillId="11" borderId="0" xfId="0" applyNumberFormat="1" applyFont="1" applyFill="1" applyBorder="1" applyAlignment="1" applyProtection="1">
      <alignment horizontal="center"/>
    </xf>
    <xf numFmtId="0" fontId="4" fillId="11" borderId="0" xfId="62" applyFont="1" applyFill="1" applyBorder="1" applyProtection="1"/>
    <xf numFmtId="8" fontId="21" fillId="11" borderId="0" xfId="0" applyNumberFormat="1" applyFont="1" applyFill="1" applyBorder="1" applyAlignment="1">
      <alignment vertical="top"/>
    </xf>
    <xf numFmtId="2" fontId="21" fillId="11" borderId="0" xfId="6" applyNumberFormat="1" applyFont="1" applyFill="1" applyBorder="1"/>
    <xf numFmtId="167" fontId="4" fillId="11" borderId="0" xfId="0" applyNumberFormat="1" applyFont="1" applyFill="1" applyBorder="1" applyAlignment="1" applyProtection="1">
      <alignment horizontal="center"/>
    </xf>
    <xf numFmtId="37" fontId="19" fillId="11" borderId="0" xfId="62" applyNumberFormat="1" applyFont="1" applyFill="1" applyBorder="1" applyProtection="1"/>
    <xf numFmtId="8" fontId="19" fillId="11" borderId="42" xfId="0" applyNumberFormat="1" applyFont="1" applyFill="1" applyBorder="1" applyAlignment="1">
      <alignment vertical="top"/>
    </xf>
    <xf numFmtId="10" fontId="21" fillId="11" borderId="0" xfId="0" applyNumberFormat="1" applyFont="1" applyFill="1" applyBorder="1" applyAlignment="1">
      <alignment vertical="top"/>
    </xf>
    <xf numFmtId="10" fontId="21" fillId="11" borderId="0" xfId="0" applyNumberFormat="1" applyFont="1" applyFill="1" applyBorder="1" applyAlignment="1">
      <alignment horizontal="right"/>
    </xf>
    <xf numFmtId="167" fontId="19" fillId="11" borderId="22" xfId="0" applyNumberFormat="1" applyFont="1" applyFill="1" applyBorder="1" applyAlignment="1" applyProtection="1">
      <alignment horizontal="center"/>
    </xf>
    <xf numFmtId="167" fontId="19" fillId="11" borderId="0" xfId="0" applyNumberFormat="1" applyFont="1" applyFill="1" applyBorder="1" applyAlignment="1" applyProtection="1">
      <alignment horizontal="center"/>
    </xf>
    <xf numFmtId="0" fontId="4" fillId="3" borderId="0" xfId="0" applyFont="1" applyFill="1" applyBorder="1" applyAlignment="1"/>
    <xf numFmtId="0" fontId="21" fillId="3" borderId="0" xfId="0" applyFont="1" applyFill="1" applyBorder="1" applyAlignment="1">
      <alignment vertical="top"/>
    </xf>
    <xf numFmtId="167" fontId="4" fillId="3" borderId="0" xfId="0" applyNumberFormat="1" applyFont="1" applyFill="1" applyBorder="1" applyAlignment="1" applyProtection="1">
      <alignment horizontal="center"/>
    </xf>
    <xf numFmtId="2" fontId="21" fillId="3" borderId="0" xfId="0" applyNumberFormat="1" applyFont="1" applyFill="1" applyBorder="1" applyAlignment="1">
      <alignment vertical="top"/>
    </xf>
    <xf numFmtId="2" fontId="21" fillId="3" borderId="0" xfId="0" applyNumberFormat="1" applyFont="1" applyFill="1" applyBorder="1" applyAlignment="1">
      <alignment horizontal="right"/>
    </xf>
    <xf numFmtId="0" fontId="90" fillId="3" borderId="0" xfId="0" applyFont="1" applyFill="1" applyBorder="1" applyAlignment="1">
      <alignment vertical="top"/>
    </xf>
    <xf numFmtId="167" fontId="19" fillId="3" borderId="22" xfId="0" applyNumberFormat="1" applyFont="1" applyFill="1" applyBorder="1" applyAlignment="1" applyProtection="1">
      <alignment horizontal="center"/>
    </xf>
    <xf numFmtId="167" fontId="19" fillId="3" borderId="0" xfId="0" applyNumberFormat="1" applyFont="1" applyFill="1" applyBorder="1" applyAlignment="1" applyProtection="1">
      <alignment horizontal="center"/>
    </xf>
    <xf numFmtId="0" fontId="4" fillId="3" borderId="0" xfId="62" applyFont="1" applyFill="1" applyBorder="1" applyProtection="1"/>
    <xf numFmtId="8" fontId="21" fillId="3" borderId="0" xfId="0" applyNumberFormat="1" applyFont="1" applyFill="1" applyBorder="1" applyAlignment="1">
      <alignment vertical="top"/>
    </xf>
    <xf numFmtId="0" fontId="19" fillId="3" borderId="0" xfId="0" applyFont="1" applyFill="1" applyBorder="1" applyAlignment="1">
      <alignment vertical="top"/>
    </xf>
    <xf numFmtId="37" fontId="19" fillId="3" borderId="0" xfId="62" applyNumberFormat="1" applyFont="1" applyFill="1" applyBorder="1" applyProtection="1"/>
    <xf numFmtId="8" fontId="19" fillId="3" borderId="42" xfId="0" applyNumberFormat="1" applyFont="1" applyFill="1" applyBorder="1" applyAlignment="1">
      <alignment vertical="top"/>
    </xf>
    <xf numFmtId="0" fontId="91" fillId="3" borderId="0" xfId="0" applyFont="1" applyFill="1" applyBorder="1" applyAlignment="1">
      <alignment vertical="top"/>
    </xf>
    <xf numFmtId="0" fontId="90" fillId="11" borderId="0" xfId="0" applyFont="1" applyFill="1" applyBorder="1" applyAlignment="1">
      <alignment vertical="top"/>
    </xf>
    <xf numFmtId="195" fontId="19" fillId="11" borderId="0" xfId="0" applyNumberFormat="1" applyFont="1" applyFill="1" applyBorder="1" applyAlignment="1">
      <alignment vertical="top"/>
    </xf>
    <xf numFmtId="10" fontId="19" fillId="11" borderId="0" xfId="6" applyNumberFormat="1" applyFont="1" applyFill="1" applyBorder="1"/>
    <xf numFmtId="2" fontId="9" fillId="11" borderId="45" xfId="0" applyNumberFormat="1" applyFont="1" applyFill="1" applyBorder="1" applyAlignment="1">
      <alignment vertical="top"/>
    </xf>
    <xf numFmtId="2" fontId="9" fillId="11" borderId="46" xfId="0" applyNumberFormat="1" applyFont="1" applyFill="1" applyBorder="1" applyAlignment="1">
      <alignment vertical="top"/>
    </xf>
    <xf numFmtId="2" fontId="5" fillId="7" borderId="0" xfId="7" applyNumberFormat="1" applyFont="1" applyFill="1" applyBorder="1" applyAlignment="1">
      <alignment horizontal="center"/>
    </xf>
    <xf numFmtId="2" fontId="7" fillId="7" borderId="4" xfId="12" applyNumberFormat="1" applyFont="1" applyFill="1" applyBorder="1" applyAlignment="1">
      <alignment horizontal="center"/>
    </xf>
    <xf numFmtId="0" fontId="5" fillId="7" borderId="13" xfId="13" applyFont="1" applyFill="1" applyBorder="1" applyAlignment="1">
      <alignment horizontal="center"/>
    </xf>
    <xf numFmtId="0" fontId="5" fillId="7" borderId="10" xfId="13" applyFont="1" applyFill="1" applyBorder="1" applyAlignment="1">
      <alignment horizontal="center"/>
    </xf>
    <xf numFmtId="0" fontId="5" fillId="7" borderId="14" xfId="13" applyFont="1" applyFill="1" applyBorder="1" applyAlignment="1">
      <alignment horizontal="center"/>
    </xf>
    <xf numFmtId="0" fontId="5" fillId="7" borderId="13" xfId="13" applyFont="1" applyFill="1" applyBorder="1" applyAlignment="1" applyProtection="1">
      <alignment horizontal="center"/>
    </xf>
    <xf numFmtId="0" fontId="5" fillId="7" borderId="10" xfId="13" applyFont="1" applyFill="1" applyBorder="1" applyAlignment="1" applyProtection="1">
      <alignment horizontal="center"/>
    </xf>
    <xf numFmtId="0" fontId="5" fillId="7" borderId="14" xfId="13" applyFont="1" applyFill="1" applyBorder="1" applyAlignment="1" applyProtection="1">
      <alignment horizontal="center"/>
    </xf>
    <xf numFmtId="0" fontId="15" fillId="7" borderId="0" xfId="13" applyFont="1" applyFill="1" applyAlignment="1">
      <alignment horizontal="center"/>
    </xf>
    <xf numFmtId="0" fontId="4" fillId="4" borderId="0" xfId="13" applyFont="1" applyFill="1" applyBorder="1" applyAlignment="1" applyProtection="1">
      <alignment horizontal="left"/>
    </xf>
    <xf numFmtId="0" fontId="0" fillId="4" borderId="0" xfId="0" applyFill="1"/>
    <xf numFmtId="0" fontId="0" fillId="4" borderId="3" xfId="0" applyFill="1" applyBorder="1"/>
    <xf numFmtId="0" fontId="5" fillId="7" borderId="13" xfId="13" applyFont="1" applyFill="1" applyBorder="1" applyAlignment="1" applyProtection="1">
      <alignment horizontal="center" vertical="center"/>
    </xf>
    <xf numFmtId="0" fontId="5" fillId="7" borderId="10" xfId="13" applyFont="1" applyFill="1" applyBorder="1" applyAlignment="1" applyProtection="1">
      <alignment horizontal="center" vertical="center"/>
    </xf>
    <xf numFmtId="0" fontId="5" fillId="7" borderId="14" xfId="13" applyFont="1" applyFill="1" applyBorder="1" applyAlignment="1" applyProtection="1">
      <alignment horizontal="center" vertical="center"/>
    </xf>
    <xf numFmtId="0" fontId="15" fillId="7" borderId="1" xfId="13" applyFont="1" applyFill="1" applyBorder="1" applyAlignment="1">
      <alignment horizontal="center" vertical="justify"/>
    </xf>
    <xf numFmtId="0" fontId="5" fillId="7" borderId="13" xfId="13" applyFont="1" applyFill="1" applyBorder="1" applyAlignment="1" applyProtection="1">
      <alignment horizontal="center" vertical="top"/>
    </xf>
    <xf numFmtId="0" fontId="5" fillId="7" borderId="10" xfId="13" applyFont="1" applyFill="1" applyBorder="1" applyAlignment="1" applyProtection="1">
      <alignment horizontal="center" vertical="top"/>
    </xf>
    <xf numFmtId="0" fontId="5" fillId="7" borderId="14" xfId="13" applyFont="1" applyFill="1" applyBorder="1" applyAlignment="1" applyProtection="1">
      <alignment horizontal="center" vertical="top"/>
    </xf>
    <xf numFmtId="0" fontId="7" fillId="7" borderId="0" xfId="0" applyFont="1" applyFill="1" applyAlignment="1">
      <alignment horizontal="center"/>
    </xf>
    <xf numFmtId="0" fontId="7" fillId="7" borderId="1" xfId="0" applyFont="1" applyFill="1" applyBorder="1" applyAlignment="1">
      <alignment horizontal="center" vertical="justify"/>
    </xf>
    <xf numFmtId="0" fontId="5" fillId="7" borderId="1" xfId="0" applyFont="1" applyFill="1" applyBorder="1" applyAlignment="1">
      <alignment horizontal="center" vertical="justify"/>
    </xf>
    <xf numFmtId="0" fontId="32" fillId="4" borderId="4" xfId="0" applyFont="1" applyFill="1" applyBorder="1" applyAlignment="1">
      <alignment horizontal="center"/>
    </xf>
    <xf numFmtId="0" fontId="62" fillId="9" borderId="33" xfId="0" applyFont="1" applyFill="1" applyBorder="1" applyAlignment="1">
      <alignment horizontal="center"/>
    </xf>
    <xf numFmtId="0" fontId="0" fillId="0" borderId="33" xfId="0" applyBorder="1"/>
    <xf numFmtId="0" fontId="75" fillId="0" borderId="0" xfId="0" applyFont="1"/>
    <xf numFmtId="0" fontId="0" fillId="0" borderId="0" xfId="0"/>
  </cellXfs>
  <cellStyles count="109">
    <cellStyle name="Comma" xfId="22" builtinId="3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Normal" xfId="0" builtinId="0"/>
    <cellStyle name="Normal 2" xfId="1" xr:uid="{00000000-0005-0000-0000-000052000000}"/>
    <cellStyle name="Normal 2 2" xfId="2" xr:uid="{00000000-0005-0000-0000-000053000000}"/>
    <cellStyle name="Normal 2 2 2" xfId="3" xr:uid="{00000000-0005-0000-0000-000054000000}"/>
    <cellStyle name="Normal_DrydenNewDCF3" xfId="62" xr:uid="{00000000-0005-0000-0000-000055000000}"/>
    <cellStyle name="Normal_Inverness Drive Model 4-26-02" xfId="4" xr:uid="{00000000-0005-0000-0000-000056000000}"/>
    <cellStyle name="Normal_TrainingDCF1" xfId="5" xr:uid="{00000000-0005-0000-0000-000057000000}"/>
    <cellStyle name="Percent" xfId="6" builtinId="5"/>
    <cellStyle name="千位分隔 2" xfId="23" xr:uid="{00000000-0005-0000-0000-000059000000}"/>
    <cellStyle name="千位分隔 2 2" xfId="24" xr:uid="{00000000-0005-0000-0000-00005A000000}"/>
    <cellStyle name="千位分隔 2 2 2" xfId="25" xr:uid="{00000000-0005-0000-0000-00005B000000}"/>
    <cellStyle name="千位分隔 3" xfId="26" xr:uid="{00000000-0005-0000-0000-00005C000000}"/>
    <cellStyle name="千位分隔 3 2" xfId="27" xr:uid="{00000000-0005-0000-0000-00005D000000}"/>
    <cellStyle name="常规 2" xfId="12" xr:uid="{00000000-0005-0000-0000-00005E000000}"/>
    <cellStyle name="常规 2 2" xfId="13" xr:uid="{00000000-0005-0000-0000-00005F000000}"/>
    <cellStyle name="常规 2 2 2" xfId="14" xr:uid="{00000000-0005-0000-0000-000060000000}"/>
    <cellStyle name="常规 3" xfId="15" xr:uid="{00000000-0005-0000-0000-000061000000}"/>
    <cellStyle name="常规 3 2" xfId="16" xr:uid="{00000000-0005-0000-0000-000062000000}"/>
    <cellStyle name="百分比 2" xfId="7" xr:uid="{00000000-0005-0000-0000-000063000000}"/>
    <cellStyle name="百分比 2 2" xfId="8" xr:uid="{00000000-0005-0000-0000-000064000000}"/>
    <cellStyle name="百分比 2 2 2" xfId="9" xr:uid="{00000000-0005-0000-0000-000065000000}"/>
    <cellStyle name="百分比 3" xfId="10" xr:uid="{00000000-0005-0000-0000-000066000000}"/>
    <cellStyle name="百分比 3 2" xfId="11" xr:uid="{00000000-0005-0000-0000-000067000000}"/>
    <cellStyle name="货币 2" xfId="17" xr:uid="{00000000-0005-0000-0000-000068000000}"/>
    <cellStyle name="货币 2 2" xfId="18" xr:uid="{00000000-0005-0000-0000-000069000000}"/>
    <cellStyle name="货币 2 2 2" xfId="19" xr:uid="{00000000-0005-0000-0000-00006A000000}"/>
    <cellStyle name="货币 3" xfId="20" xr:uid="{00000000-0005-0000-0000-00006B000000}"/>
    <cellStyle name="货币 3 2" xfId="21" xr:uid="{00000000-0005-0000-0000-00006C000000}"/>
  </cellStyles>
  <dxfs count="0"/>
  <tableStyles count="0" defaultTableStyle="TableStyleMedium9" defaultPivotStyle="PivotStyleMedium4"/>
  <colors>
    <mruColors>
      <color rgb="FFEE82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externalLink" Target="externalLinks/externalLink7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externalLink" Target="externalLinks/externalLink6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5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Relationship Id="rId22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growth rate</c:v>
          </c:tx>
          <c:invertIfNegative val="0"/>
          <c:cat>
            <c:numRef>
              <c:f>'Financial Analysis'!$D$4:$H$4</c:f>
              <c:numCache>
                <c:formatCode>General</c:formatCode>
                <c:ptCount val="5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</c:numCache>
            </c:numRef>
          </c:cat>
          <c:val>
            <c:numRef>
              <c:f>'Financial Analysis'!$D$16:$H$16</c:f>
              <c:numCache>
                <c:formatCode>0.0%</c:formatCode>
                <c:ptCount val="5"/>
                <c:pt idx="0">
                  <c:v>0.11513072017305026</c:v>
                </c:pt>
                <c:pt idx="1">
                  <c:v>-5.1596989966555262E-2</c:v>
                </c:pt>
                <c:pt idx="2">
                  <c:v>8.0000000000000002E-3</c:v>
                </c:pt>
                <c:pt idx="3">
                  <c:v>5.5E-2</c:v>
                </c:pt>
                <c:pt idx="4">
                  <c:v>-2.3E-2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32-CA43-A08C-F1E9E4E65F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95006312"/>
        <c:axId val="695069128"/>
      </c:barChart>
      <c:catAx>
        <c:axId val="6950063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695069128"/>
        <c:crosses val="autoZero"/>
        <c:auto val="1"/>
        <c:lblAlgn val="ctr"/>
        <c:lblOffset val="100"/>
        <c:noMultiLvlLbl val="0"/>
      </c:catAx>
      <c:valAx>
        <c:axId val="695069128"/>
        <c:scaling>
          <c:orientation val="minMax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crossAx val="69500631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0137117235345601"/>
          <c:y val="8.5453484981044006E-2"/>
          <c:w val="0.68392366579177599"/>
          <c:h val="0.751311606882473"/>
        </c:manualLayout>
      </c:layout>
      <c:lineChart>
        <c:grouping val="standard"/>
        <c:varyColors val="0"/>
        <c:ser>
          <c:idx val="0"/>
          <c:order val="0"/>
          <c:marker>
            <c:symbol val="none"/>
          </c:marker>
          <c:cat>
            <c:strRef>
              <c:f>'Metro Modeling'!$F$8:$P$8</c:f>
              <c:strCache>
                <c:ptCount val="11"/>
                <c:pt idx="0">
                  <c:v>2008A</c:v>
                </c:pt>
                <c:pt idx="1">
                  <c:v>2009A</c:v>
                </c:pt>
                <c:pt idx="2">
                  <c:v>2010A</c:v>
                </c:pt>
                <c:pt idx="3">
                  <c:v>2011A</c:v>
                </c:pt>
                <c:pt idx="4">
                  <c:v>2012A</c:v>
                </c:pt>
                <c:pt idx="5">
                  <c:v>2013A</c:v>
                </c:pt>
                <c:pt idx="6">
                  <c:v>2014E</c:v>
                </c:pt>
                <c:pt idx="7">
                  <c:v>2015E</c:v>
                </c:pt>
                <c:pt idx="8">
                  <c:v>2016E</c:v>
                </c:pt>
                <c:pt idx="9">
                  <c:v>2017E</c:v>
                </c:pt>
                <c:pt idx="10">
                  <c:v>2018E</c:v>
                </c:pt>
              </c:strCache>
            </c:strRef>
          </c:cat>
          <c:val>
            <c:numRef>
              <c:f>'Metro Modeling'!$F$10:$P$10</c:f>
              <c:numCache>
                <c:formatCode>General</c:formatCode>
                <c:ptCount val="11"/>
                <c:pt idx="0">
                  <c:v>558</c:v>
                </c:pt>
                <c:pt idx="1">
                  <c:v>559</c:v>
                </c:pt>
                <c:pt idx="2">
                  <c:v>566</c:v>
                </c:pt>
                <c:pt idx="3">
                  <c:v>564</c:v>
                </c:pt>
                <c:pt idx="4">
                  <c:v>564</c:v>
                </c:pt>
                <c:pt idx="5">
                  <c:v>566</c:v>
                </c:pt>
                <c:pt idx="6">
                  <c:v>568</c:v>
                </c:pt>
                <c:pt idx="7">
                  <c:v>569</c:v>
                </c:pt>
                <c:pt idx="8">
                  <c:v>571</c:v>
                </c:pt>
                <c:pt idx="9">
                  <c:v>572</c:v>
                </c:pt>
                <c:pt idx="10">
                  <c:v>573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A8-AB42-83EA-33FDCFFBC5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9900248"/>
        <c:axId val="569179384"/>
      </c:lineChart>
      <c:catAx>
        <c:axId val="5199002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569179384"/>
        <c:crosses val="autoZero"/>
        <c:auto val="1"/>
        <c:lblAlgn val="ctr"/>
        <c:lblOffset val="100"/>
        <c:noMultiLvlLbl val="0"/>
      </c:catAx>
      <c:valAx>
        <c:axId val="569179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1990024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 paperSize="9" orientation="portrait" verticalDpi="0"/>
  </c:printSettings>
</c:chartSpace>
</file>

<file path=xl/ctrlProps/ctrlProp1.xml><?xml version="1.0" encoding="utf-8"?>
<formControlPr xmlns="http://schemas.microsoft.com/office/spreadsheetml/2009/9/main" objectType="Drop" dropLines="70" dropStyle="combo" dx="16" fmlaLink="$C$5" fmlaRange="$B$13:$B$15" noThreeD="1" sel="1" val="0"/>
</file>

<file path=xl/ctrlProps/ctrlProp2.xml><?xml version="1.0" encoding="utf-8"?>
<formControlPr xmlns="http://schemas.microsoft.com/office/spreadsheetml/2009/9/main" objectType="Drop" dropLines="70" dropStyle="combo" dx="16" fmlaLink="$C$53" fmlaRange="$B$61:$B$63" noThreeD="1" sel="1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22</xdr:row>
      <xdr:rowOff>53340</xdr:rowOff>
    </xdr:from>
    <xdr:to>
      <xdr:col>8</xdr:col>
      <xdr:colOff>320040</xdr:colOff>
      <xdr:row>30</xdr:row>
      <xdr:rowOff>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</xdr:row>
          <xdr:rowOff>139700</xdr:rowOff>
        </xdr:from>
        <xdr:to>
          <xdr:col>4</xdr:col>
          <xdr:colOff>584200</xdr:colOff>
          <xdr:row>5</xdr:row>
          <xdr:rowOff>25400</xdr:rowOff>
        </xdr:to>
        <xdr:sp macro="" textlink="">
          <xdr:nvSpPr>
            <xdr:cNvPr id="5121" name="Drop Down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4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1240B29-F687-4F45-9708-019B960494DF}">
                <a14:hiddenLine w="19050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51</xdr:row>
          <xdr:rowOff>139700</xdr:rowOff>
        </xdr:from>
        <xdr:to>
          <xdr:col>4</xdr:col>
          <xdr:colOff>571500</xdr:colOff>
          <xdr:row>53</xdr:row>
          <xdr:rowOff>25400</xdr:rowOff>
        </xdr:to>
        <xdr:sp macro="" textlink="">
          <xdr:nvSpPr>
            <xdr:cNvPr id="5122" name="Drop Down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4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1240B29-F687-4F45-9708-019B960494DF}">
                <a14:hiddenLine w="19050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393700</xdr:colOff>
      <xdr:row>2</xdr:row>
      <xdr:rowOff>50800</xdr:rowOff>
    </xdr:from>
    <xdr:to>
      <xdr:col>8</xdr:col>
      <xdr:colOff>177800</xdr:colOff>
      <xdr:row>20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oodle.yorku.ca/Users/ANA/AppData/Local/Microsoft/Windows/Temporary%20Internet%20Files/Low/Content.IE5/IY1VWBDG/Equity%20Valuation/Final%20Assignment/ADMS4536_Charles_Dreezer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oodle.yorku.ca/Users/ANA/AppData/Local/Microsoft/Windows/Temporary%20Internet%20Files/Low/Content.IE5/O1E2MFU6/Equity%20Valuation/Final%20Assignment/ADMS4536_Charles_Dreezer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oodle.yorku.ca/moodle/pluginfile.php/843238/mod_resource/content/1/Shoppers_ValuationDCF%20Fall%202013_revised%20in%20clas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/TDDOWNLOAD/ADMS4536/xiaowanzi%20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/Users/xixi/Downloads/111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eddy/Downloads/Shoppers_ValuationDCF%20Fall%202013_revised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hengdaoyang/Documents/ADMS4536/Shoppers_ValuationDCF%20January%20201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Revenue Build"/>
      <sheetName val="Valuation Summary"/>
      <sheetName val="Valuation Graph"/>
      <sheetName val="Public Comps"/>
      <sheetName val="Public-Comps-Data"/>
      <sheetName val="Operating Model"/>
      <sheetName val="DCF"/>
      <sheetName val="Dividend Discount"/>
      <sheetName val="WACC"/>
      <sheetName val="Residual Income"/>
      <sheetName val="Share-Calculations"/>
      <sheetName val="Future-Share-Price"/>
      <sheetName val="Loblaw mkt share"/>
      <sheetName val="As reported statements"/>
      <sheetName val="Ratios"/>
    </sheetNames>
    <sheetDataSet>
      <sheetData sheetId="0">
        <row r="4">
          <cell r="E4" t="str">
            <v>Loblaw Companies Limited</v>
          </cell>
          <cell r="L4">
            <v>0.28699999999999998</v>
          </cell>
        </row>
      </sheetData>
      <sheetData sheetId="1" refreshError="1"/>
      <sheetData sheetId="2" refreshError="1"/>
      <sheetData sheetId="3" refreshError="1"/>
      <sheetData sheetId="4" refreshError="1"/>
      <sheetData sheetId="5">
        <row r="2">
          <cell r="G2" t="str">
            <v>TSE: MRU A</v>
          </cell>
          <cell r="L2" t="str">
            <v>NYSE: SWY</v>
          </cell>
          <cell r="Q2" t="str">
            <v>NYSE: SVU</v>
          </cell>
          <cell r="V2" t="str">
            <v>NYSE: GAP</v>
          </cell>
          <cell r="AA2" t="str">
            <v>TSE: L</v>
          </cell>
        </row>
        <row r="3">
          <cell r="G3" t="str">
            <v>Metro Inc.</v>
          </cell>
          <cell r="L3" t="str">
            <v>Safeway</v>
          </cell>
          <cell r="Q3" t="str">
            <v>Supervalu Inc.</v>
          </cell>
          <cell r="V3" t="str">
            <v>Great A&amp;P Tea Company</v>
          </cell>
          <cell r="AA3" t="str">
            <v>Loblaw Companies Limited</v>
          </cell>
        </row>
        <row r="4">
          <cell r="D4" t="str">
            <v>Calendarization</v>
          </cell>
          <cell r="I4" t="str">
            <v>Calendarization</v>
          </cell>
          <cell r="N4" t="str">
            <v>Calendarization</v>
          </cell>
          <cell r="S4" t="str">
            <v>Calendarization</v>
          </cell>
          <cell r="X4" t="str">
            <v>Calendarization</v>
          </cell>
        </row>
        <row r="5">
          <cell r="D5" t="str">
            <v>Old Partial</v>
          </cell>
          <cell r="E5" t="str">
            <v>New Partial</v>
          </cell>
          <cell r="F5" t="str">
            <v>FY</v>
          </cell>
          <cell r="G5" t="str">
            <v>TTM</v>
          </cell>
          <cell r="I5" t="str">
            <v>Old Partial</v>
          </cell>
          <cell r="J5" t="str">
            <v>New Partial</v>
          </cell>
          <cell r="K5" t="str">
            <v>FY</v>
          </cell>
          <cell r="L5" t="str">
            <v>TTM</v>
          </cell>
          <cell r="N5" t="str">
            <v>Old Partial</v>
          </cell>
          <cell r="O5" t="str">
            <v>New Partial</v>
          </cell>
          <cell r="P5" t="str">
            <v>FY</v>
          </cell>
          <cell r="Q5" t="str">
            <v>TTM</v>
          </cell>
          <cell r="S5" t="str">
            <v>Old Partial</v>
          </cell>
          <cell r="T5" t="str">
            <v>New Partial</v>
          </cell>
          <cell r="U5" t="str">
            <v>FY</v>
          </cell>
          <cell r="V5" t="str">
            <v>TTM</v>
          </cell>
          <cell r="X5" t="str">
            <v>Old Partial</v>
          </cell>
          <cell r="Y5" t="str">
            <v>New Partial</v>
          </cell>
          <cell r="Z5" t="str">
            <v>FY</v>
          </cell>
          <cell r="AA5" t="str">
            <v>TTM</v>
          </cell>
        </row>
        <row r="6">
          <cell r="F6">
            <v>11233.4</v>
          </cell>
          <cell r="G6">
            <v>11233.4</v>
          </cell>
          <cell r="K6">
            <v>40850.699999999997</v>
          </cell>
          <cell r="L6">
            <v>40850.699999999997</v>
          </cell>
          <cell r="P6">
            <v>14835</v>
          </cell>
          <cell r="Q6">
            <v>14835</v>
          </cell>
          <cell r="U6">
            <v>8813.5679999999993</v>
          </cell>
          <cell r="V6">
            <v>8813.5679999999993</v>
          </cell>
          <cell r="Z6">
            <v>30735</v>
          </cell>
          <cell r="AA6">
            <v>30735</v>
          </cell>
        </row>
        <row r="7">
          <cell r="F7">
            <v>9218</v>
          </cell>
          <cell r="G7">
            <v>9218</v>
          </cell>
          <cell r="K7">
            <v>29157.200000000001</v>
          </cell>
          <cell r="L7">
            <v>29157.200000000001</v>
          </cell>
          <cell r="P7">
            <v>11482</v>
          </cell>
          <cell r="Q7">
            <v>11482</v>
          </cell>
          <cell r="U7">
            <v>6146.808</v>
          </cell>
          <cell r="V7">
            <v>6146.808</v>
          </cell>
          <cell r="Z7">
            <v>23539</v>
          </cell>
          <cell r="AA7">
            <v>23539</v>
          </cell>
        </row>
        <row r="8">
          <cell r="D8">
            <v>0</v>
          </cell>
          <cell r="E8">
            <v>0</v>
          </cell>
          <cell r="F8">
            <v>2015.3999999999996</v>
          </cell>
          <cell r="G8">
            <v>2015.3999999999996</v>
          </cell>
          <cell r="I8">
            <v>0</v>
          </cell>
          <cell r="J8">
            <v>0</v>
          </cell>
          <cell r="K8">
            <v>11693.499999999996</v>
          </cell>
          <cell r="L8">
            <v>11693.499999999996</v>
          </cell>
          <cell r="N8">
            <v>0</v>
          </cell>
          <cell r="O8">
            <v>0</v>
          </cell>
          <cell r="P8">
            <v>3353</v>
          </cell>
          <cell r="Q8">
            <v>3353</v>
          </cell>
          <cell r="S8">
            <v>0</v>
          </cell>
          <cell r="T8">
            <v>0</v>
          </cell>
          <cell r="U8">
            <v>2666.7599999999993</v>
          </cell>
          <cell r="V8">
            <v>2666.7599999999993</v>
          </cell>
          <cell r="X8">
            <v>0</v>
          </cell>
          <cell r="Y8">
            <v>0</v>
          </cell>
          <cell r="Z8">
            <v>7196</v>
          </cell>
          <cell r="AA8">
            <v>7196</v>
          </cell>
        </row>
        <row r="9">
          <cell r="F9">
            <v>1262.7999999999993</v>
          </cell>
          <cell r="G9">
            <v>1262.7999999999993</v>
          </cell>
          <cell r="K9">
            <v>10348</v>
          </cell>
          <cell r="L9">
            <v>10348</v>
          </cell>
          <cell r="P9">
            <v>2698</v>
          </cell>
          <cell r="Q9">
            <v>2698</v>
          </cell>
          <cell r="U9">
            <v>2790.154</v>
          </cell>
          <cell r="V9">
            <v>2790.154</v>
          </cell>
          <cell r="Z9">
            <v>5991</v>
          </cell>
          <cell r="AA9">
            <v>5991</v>
          </cell>
        </row>
        <row r="10">
          <cell r="F10">
            <v>11</v>
          </cell>
          <cell r="G10">
            <v>11</v>
          </cell>
          <cell r="K10">
            <v>-2298.8000000000002</v>
          </cell>
          <cell r="L10">
            <v>-2298.8000000000002</v>
          </cell>
          <cell r="P10">
            <v>5</v>
          </cell>
          <cell r="Q10">
            <v>5</v>
          </cell>
          <cell r="U10">
            <v>-775.09799999999996</v>
          </cell>
          <cell r="V10">
            <v>-775.09799999999996</v>
          </cell>
          <cell r="Z10">
            <v>-269</v>
          </cell>
          <cell r="AA10">
            <v>-269</v>
          </cell>
        </row>
        <row r="11">
          <cell r="D11">
            <v>0</v>
          </cell>
          <cell r="E11">
            <v>0</v>
          </cell>
          <cell r="F11">
            <v>763.60000000000036</v>
          </cell>
          <cell r="G11">
            <v>763.60000000000036</v>
          </cell>
          <cell r="I11">
            <v>0</v>
          </cell>
          <cell r="J11">
            <v>0</v>
          </cell>
          <cell r="K11">
            <v>-953.30000000000382</v>
          </cell>
          <cell r="L11">
            <v>-953.30000000000382</v>
          </cell>
          <cell r="N11">
            <v>0</v>
          </cell>
          <cell r="O11">
            <v>0</v>
          </cell>
          <cell r="P11">
            <v>660</v>
          </cell>
          <cell r="Q11">
            <v>660</v>
          </cell>
          <cell r="S11">
            <v>0</v>
          </cell>
          <cell r="T11">
            <v>0</v>
          </cell>
          <cell r="U11">
            <v>-898.49200000000064</v>
          </cell>
          <cell r="V11">
            <v>-898.49200000000064</v>
          </cell>
          <cell r="X11">
            <v>0</v>
          </cell>
          <cell r="Y11">
            <v>0</v>
          </cell>
          <cell r="Z11">
            <v>936</v>
          </cell>
          <cell r="AA11">
            <v>936</v>
          </cell>
        </row>
        <row r="12">
          <cell r="F12">
            <v>150.1</v>
          </cell>
          <cell r="G12">
            <v>150.1</v>
          </cell>
          <cell r="K12">
            <v>144.19999999999999</v>
          </cell>
          <cell r="L12">
            <v>144.19999999999999</v>
          </cell>
          <cell r="P12">
            <v>184</v>
          </cell>
          <cell r="Q12">
            <v>184</v>
          </cell>
          <cell r="U12">
            <v>-21.994</v>
          </cell>
          <cell r="V12">
            <v>-21.994</v>
          </cell>
          <cell r="Z12">
            <v>269</v>
          </cell>
          <cell r="AA12">
            <v>269</v>
          </cell>
        </row>
        <row r="13">
          <cell r="F13">
            <v>0</v>
          </cell>
          <cell r="G13">
            <v>0</v>
          </cell>
          <cell r="K13">
            <v>0</v>
          </cell>
          <cell r="L13">
            <v>0</v>
          </cell>
          <cell r="P13">
            <v>0</v>
          </cell>
          <cell r="Q13">
            <v>0</v>
          </cell>
          <cell r="U13">
            <v>-4.5609999999999999</v>
          </cell>
          <cell r="V13">
            <v>-4.5609999999999999</v>
          </cell>
          <cell r="Z13">
            <v>-11</v>
          </cell>
          <cell r="AA13">
            <v>-11</v>
          </cell>
        </row>
        <row r="14">
          <cell r="D14">
            <v>0</v>
          </cell>
          <cell r="E14">
            <v>0</v>
          </cell>
          <cell r="F14">
            <v>613.50000000000034</v>
          </cell>
          <cell r="G14">
            <v>613.50000000000034</v>
          </cell>
          <cell r="I14">
            <v>0</v>
          </cell>
          <cell r="J14">
            <v>0</v>
          </cell>
          <cell r="K14">
            <v>-1097.5000000000039</v>
          </cell>
          <cell r="L14">
            <v>-1097.5000000000039</v>
          </cell>
          <cell r="N14">
            <v>0</v>
          </cell>
          <cell r="O14">
            <v>0</v>
          </cell>
          <cell r="P14">
            <v>476</v>
          </cell>
          <cell r="Q14">
            <v>476</v>
          </cell>
          <cell r="S14">
            <v>0</v>
          </cell>
          <cell r="T14">
            <v>0</v>
          </cell>
          <cell r="U14">
            <v>-881.05900000000065</v>
          </cell>
          <cell r="V14">
            <v>-881.05900000000065</v>
          </cell>
          <cell r="Z14">
            <v>656</v>
          </cell>
          <cell r="AA14">
            <v>656</v>
          </cell>
        </row>
        <row r="15">
          <cell r="F15">
            <v>40.200000000000003</v>
          </cell>
          <cell r="G15">
            <v>40.200000000000003</v>
          </cell>
          <cell r="K15">
            <v>4.8</v>
          </cell>
          <cell r="L15">
            <v>4.8</v>
          </cell>
          <cell r="P15">
            <v>129</v>
          </cell>
          <cell r="Q15">
            <v>129</v>
          </cell>
          <cell r="U15">
            <v>4.4820000000000002</v>
          </cell>
          <cell r="V15">
            <v>4.4820000000000002</v>
          </cell>
          <cell r="Z15">
            <v>0</v>
          </cell>
          <cell r="AA15">
            <v>0</v>
          </cell>
        </row>
        <row r="16">
          <cell r="F16">
            <v>148.9</v>
          </cell>
          <cell r="G16">
            <v>148.9</v>
          </cell>
          <cell r="K16">
            <v>1171.2</v>
          </cell>
          <cell r="L16">
            <v>1171.2</v>
          </cell>
          <cell r="P16">
            <v>117</v>
          </cell>
          <cell r="Q16">
            <v>117</v>
          </cell>
          <cell r="U16">
            <v>245.46</v>
          </cell>
          <cell r="V16">
            <v>245.46</v>
          </cell>
          <cell r="Z16">
            <v>589</v>
          </cell>
          <cell r="AA16">
            <v>589</v>
          </cell>
        </row>
        <row r="17">
          <cell r="F17">
            <v>5</v>
          </cell>
          <cell r="G17">
            <v>5</v>
          </cell>
          <cell r="K17">
            <v>57.4</v>
          </cell>
          <cell r="L17">
            <v>57.4</v>
          </cell>
          <cell r="P17">
            <v>185</v>
          </cell>
          <cell r="Q17">
            <v>185</v>
          </cell>
          <cell r="U17">
            <v>5.6669999999999998</v>
          </cell>
          <cell r="V17">
            <v>5.6669999999999998</v>
          </cell>
          <cell r="Z17">
            <v>22</v>
          </cell>
          <cell r="AA17">
            <v>22</v>
          </cell>
        </row>
        <row r="18">
          <cell r="F18">
            <v>0</v>
          </cell>
          <cell r="G18">
            <v>0</v>
          </cell>
          <cell r="K18">
            <v>1974.2</v>
          </cell>
          <cell r="L18">
            <v>1974.2</v>
          </cell>
          <cell r="P18">
            <v>9</v>
          </cell>
          <cell r="Q18">
            <v>9</v>
          </cell>
          <cell r="U18">
            <v>582.20899999999995</v>
          </cell>
          <cell r="V18">
            <v>582.20899999999995</v>
          </cell>
          <cell r="Z18">
            <v>0</v>
          </cell>
          <cell r="AA18">
            <v>0</v>
          </cell>
        </row>
        <row r="19">
          <cell r="G19">
            <v>0.29799999999999999</v>
          </cell>
          <cell r="L19">
            <v>0.35</v>
          </cell>
          <cell r="Q19">
            <v>0.35</v>
          </cell>
          <cell r="V19">
            <v>0.35</v>
          </cell>
          <cell r="AA19">
            <v>0.28699999999999998</v>
          </cell>
        </row>
        <row r="21">
          <cell r="D21">
            <v>0</v>
          </cell>
          <cell r="E21">
            <v>0</v>
          </cell>
          <cell r="F21">
            <v>567.77760000000023</v>
          </cell>
          <cell r="G21">
            <v>567.77760000000023</v>
          </cell>
          <cell r="I21">
            <v>0</v>
          </cell>
          <cell r="J21">
            <v>0</v>
          </cell>
          <cell r="K21">
            <v>704.0149999999976</v>
          </cell>
          <cell r="L21">
            <v>704.0149999999976</v>
          </cell>
          <cell r="N21">
            <v>0</v>
          </cell>
          <cell r="O21">
            <v>0</v>
          </cell>
          <cell r="P21">
            <v>638.95000000000005</v>
          </cell>
          <cell r="Q21">
            <v>638.95000000000005</v>
          </cell>
          <cell r="S21">
            <v>0</v>
          </cell>
          <cell r="T21">
            <v>0</v>
          </cell>
          <cell r="U21">
            <v>-203.54810000000046</v>
          </cell>
          <cell r="V21">
            <v>-203.54810000000046</v>
          </cell>
          <cell r="X21">
            <v>0</v>
          </cell>
          <cell r="Y21">
            <v>0</v>
          </cell>
          <cell r="Z21">
            <v>672.05400000000009</v>
          </cell>
          <cell r="AA21">
            <v>672.05400000000009</v>
          </cell>
        </row>
        <row r="22">
          <cell r="G22">
            <v>5.2628603804358987</v>
          </cell>
          <cell r="L22">
            <v>1.7001086694035199</v>
          </cell>
          <cell r="Q22">
            <v>3.0281990521327016</v>
          </cell>
          <cell r="V22">
            <v>-6.8369191301973986</v>
          </cell>
          <cell r="AA22">
            <v>2.3822329570623735</v>
          </cell>
        </row>
        <row r="24">
          <cell r="D24">
            <v>0</v>
          </cell>
          <cell r="E24">
            <v>0</v>
          </cell>
          <cell r="F24">
            <v>946.70000000000039</v>
          </cell>
          <cell r="G24">
            <v>946.70000000000039</v>
          </cell>
          <cell r="I24">
            <v>0</v>
          </cell>
          <cell r="J24">
            <v>0</v>
          </cell>
          <cell r="K24">
            <v>4553.0999999999967</v>
          </cell>
          <cell r="L24">
            <v>4553.0999999999967</v>
          </cell>
          <cell r="N24">
            <v>0</v>
          </cell>
          <cell r="O24">
            <v>0</v>
          </cell>
          <cell r="P24">
            <v>1095</v>
          </cell>
          <cell r="Q24">
            <v>1095</v>
          </cell>
          <cell r="S24">
            <v>0</v>
          </cell>
          <cell r="T24">
            <v>0</v>
          </cell>
          <cell r="U24">
            <v>714.4239999999993</v>
          </cell>
          <cell r="V24">
            <v>714.4239999999993</v>
          </cell>
          <cell r="X24">
            <v>0</v>
          </cell>
          <cell r="Y24">
            <v>0</v>
          </cell>
          <cell r="Z24">
            <v>1816</v>
          </cell>
          <cell r="AA24">
            <v>1816</v>
          </cell>
        </row>
        <row r="25">
          <cell r="D25">
            <v>0</v>
          </cell>
          <cell r="E25">
            <v>0</v>
          </cell>
          <cell r="F25">
            <v>757.60000000000036</v>
          </cell>
          <cell r="G25">
            <v>757.60000000000036</v>
          </cell>
          <cell r="I25">
            <v>0</v>
          </cell>
          <cell r="J25">
            <v>0</v>
          </cell>
          <cell r="K25">
            <v>3377.0999999999963</v>
          </cell>
          <cell r="L25">
            <v>3377.0999999999963</v>
          </cell>
          <cell r="N25">
            <v>0</v>
          </cell>
          <cell r="O25">
            <v>0</v>
          </cell>
          <cell r="P25">
            <v>849</v>
          </cell>
          <cell r="Q25">
            <v>849</v>
          </cell>
          <cell r="S25">
            <v>0</v>
          </cell>
          <cell r="T25">
            <v>0</v>
          </cell>
          <cell r="U25">
            <v>464.48199999999923</v>
          </cell>
          <cell r="V25">
            <v>464.48199999999923</v>
          </cell>
          <cell r="X25">
            <v>0</v>
          </cell>
          <cell r="Y25">
            <v>0</v>
          </cell>
          <cell r="Z25">
            <v>1227</v>
          </cell>
          <cell r="AA25">
            <v>1227</v>
          </cell>
        </row>
        <row r="27">
          <cell r="D27" t="str">
            <v>Balance Sheet Data</v>
          </cell>
          <cell r="I27" t="str">
            <v>Balance Sheet Data</v>
          </cell>
          <cell r="N27" t="str">
            <v>Balance Sheet Data</v>
          </cell>
          <cell r="S27" t="str">
            <v>Balance Sheet Data</v>
          </cell>
        </row>
        <row r="28">
          <cell r="G28">
            <v>0</v>
          </cell>
          <cell r="L28">
            <v>471.5</v>
          </cell>
          <cell r="Q28">
            <v>240</v>
          </cell>
          <cell r="V28">
            <v>252.42599999999999</v>
          </cell>
          <cell r="AA28">
            <v>993</v>
          </cell>
        </row>
        <row r="29">
          <cell r="G29">
            <v>1004.5</v>
          </cell>
          <cell r="L29">
            <v>4360.8999999999996</v>
          </cell>
          <cell r="Q29">
            <v>7968</v>
          </cell>
          <cell r="V29">
            <v>1456.6020000000001</v>
          </cell>
          <cell r="AA29">
            <v>4162</v>
          </cell>
        </row>
        <row r="30">
          <cell r="G30">
            <v>0</v>
          </cell>
          <cell r="L30">
            <v>0</v>
          </cell>
          <cell r="Q30">
            <v>0</v>
          </cell>
          <cell r="V30">
            <v>162.80000000000001</v>
          </cell>
          <cell r="AA30">
            <v>220</v>
          </cell>
        </row>
        <row r="31">
          <cell r="G31">
            <v>0</v>
          </cell>
          <cell r="L31">
            <v>0</v>
          </cell>
          <cell r="Q31">
            <v>0</v>
          </cell>
          <cell r="V31">
            <v>0</v>
          </cell>
          <cell r="AA31">
            <v>31</v>
          </cell>
        </row>
        <row r="33">
          <cell r="D33" t="str">
            <v>Equity Research Projections</v>
          </cell>
          <cell r="I33" t="str">
            <v>Equity Research Projections</v>
          </cell>
          <cell r="N33" t="str">
            <v>Equity Research Projections</v>
          </cell>
          <cell r="S33" t="str">
            <v>Equity Research Projections</v>
          </cell>
          <cell r="X33" t="str">
            <v>Projections</v>
          </cell>
        </row>
        <row r="34">
          <cell r="D34">
            <v>40544</v>
          </cell>
          <cell r="E34">
            <v>40909</v>
          </cell>
          <cell r="F34">
            <v>41274</v>
          </cell>
          <cell r="I34">
            <v>40544</v>
          </cell>
          <cell r="J34">
            <v>40909</v>
          </cell>
          <cell r="K34">
            <v>41274</v>
          </cell>
          <cell r="N34">
            <v>40544</v>
          </cell>
          <cell r="O34">
            <v>40909</v>
          </cell>
          <cell r="P34">
            <v>41274</v>
          </cell>
          <cell r="S34">
            <v>40544</v>
          </cell>
          <cell r="T34">
            <v>40909</v>
          </cell>
          <cell r="U34">
            <v>41274</v>
          </cell>
          <cell r="X34">
            <v>40544</v>
          </cell>
          <cell r="Y34">
            <v>40909</v>
          </cell>
          <cell r="Z34">
            <v>41274</v>
          </cell>
        </row>
        <row r="35">
          <cell r="G35" t="str">
            <v>RBC</v>
          </cell>
          <cell r="L35" t="str">
            <v>Jefferies</v>
          </cell>
          <cell r="Q35" t="str">
            <v>MS</v>
          </cell>
          <cell r="V35" t="str">
            <v>Cannacord</v>
          </cell>
          <cell r="AA35" t="str">
            <v>N/A</v>
          </cell>
        </row>
        <row r="36">
          <cell r="G36" t="str">
            <v>1.27.10</v>
          </cell>
          <cell r="L36" t="str">
            <v>10.25.10</v>
          </cell>
          <cell r="Q36" t="str">
            <v>10.19.10</v>
          </cell>
          <cell r="V36" t="str">
            <v>5.13.09</v>
          </cell>
          <cell r="AA36" t="str">
            <v>N/A</v>
          </cell>
        </row>
        <row r="37">
          <cell r="D37">
            <v>11343</v>
          </cell>
          <cell r="E37">
            <v>11550</v>
          </cell>
          <cell r="F37" t="str">
            <v>N/A</v>
          </cell>
          <cell r="I37">
            <v>40996</v>
          </cell>
          <cell r="J37">
            <v>41872</v>
          </cell>
          <cell r="K37" t="str">
            <v>N/A</v>
          </cell>
          <cell r="N37">
            <v>40597</v>
          </cell>
          <cell r="O37">
            <v>37818</v>
          </cell>
          <cell r="P37" t="str">
            <v>N/A</v>
          </cell>
          <cell r="S37">
            <v>9255.2000000000007</v>
          </cell>
          <cell r="T37">
            <v>9504.4</v>
          </cell>
          <cell r="U37" t="str">
            <v>N/A</v>
          </cell>
          <cell r="X37">
            <v>32876.147129888588</v>
          </cell>
          <cell r="Y37">
            <v>33581.407625261178</v>
          </cell>
          <cell r="Z37">
            <v>34629.998678808413</v>
          </cell>
        </row>
        <row r="38">
          <cell r="D38">
            <v>787</v>
          </cell>
          <cell r="E38">
            <v>824</v>
          </cell>
          <cell r="F38" t="str">
            <v>N/A</v>
          </cell>
          <cell r="I38">
            <v>2373</v>
          </cell>
          <cell r="J38">
            <v>2486</v>
          </cell>
          <cell r="K38" t="str">
            <v>N/A</v>
          </cell>
          <cell r="N38">
            <v>2207</v>
          </cell>
          <cell r="O38">
            <v>2028</v>
          </cell>
          <cell r="P38" t="str">
            <v>N/A</v>
          </cell>
          <cell r="S38">
            <v>330</v>
          </cell>
          <cell r="T38">
            <v>350</v>
          </cell>
          <cell r="U38" t="str">
            <v>N/A</v>
          </cell>
          <cell r="X38">
            <v>1887.9583433952619</v>
          </cell>
          <cell r="Y38">
            <v>1928.4589054363398</v>
          </cell>
          <cell r="Z38">
            <v>2334.9756877185164</v>
          </cell>
        </row>
        <row r="39">
          <cell r="D39">
            <v>586</v>
          </cell>
          <cell r="E39">
            <v>622</v>
          </cell>
          <cell r="F39" t="str">
            <v>N/A</v>
          </cell>
          <cell r="I39">
            <v>1197</v>
          </cell>
          <cell r="J39">
            <v>1285</v>
          </cell>
          <cell r="K39" t="str">
            <v>N/A</v>
          </cell>
          <cell r="N39">
            <v>1250</v>
          </cell>
          <cell r="O39">
            <v>1079</v>
          </cell>
          <cell r="P39" t="str">
            <v>N/A</v>
          </cell>
          <cell r="S39">
            <v>66</v>
          </cell>
          <cell r="T39">
            <v>78</v>
          </cell>
          <cell r="U39" t="str">
            <v>N/A</v>
          </cell>
          <cell r="X39">
            <v>1175.0833433952619</v>
          </cell>
          <cell r="Y39">
            <v>1147.3392922303242</v>
          </cell>
          <cell r="Z39">
            <v>1484.147474984547</v>
          </cell>
        </row>
        <row r="40">
          <cell r="D40">
            <v>3.56</v>
          </cell>
          <cell r="E40">
            <v>3.97</v>
          </cell>
          <cell r="F40" t="str">
            <v>N/A</v>
          </cell>
          <cell r="I40">
            <v>1.55</v>
          </cell>
          <cell r="J40">
            <v>1.83</v>
          </cell>
          <cell r="K40" t="str">
            <v>N/A</v>
          </cell>
          <cell r="N40">
            <v>1.86</v>
          </cell>
          <cell r="O40">
            <v>2.4</v>
          </cell>
          <cell r="P40" t="str">
            <v>N/A</v>
          </cell>
          <cell r="S40">
            <v>-2.14</v>
          </cell>
          <cell r="T40">
            <v>-1.88</v>
          </cell>
          <cell r="U40" t="str">
            <v>N/A</v>
          </cell>
          <cell r="X40">
            <v>2.4819014826217107</v>
          </cell>
          <cell r="Y40">
            <v>2.4755216556507742</v>
          </cell>
          <cell r="Z40">
            <v>3.3348270680225411</v>
          </cell>
        </row>
        <row r="42">
          <cell r="D42" t="str">
            <v>Diluted Shares Calculation</v>
          </cell>
          <cell r="I42" t="str">
            <v>Diluted Shares Calculation</v>
          </cell>
          <cell r="N42" t="str">
            <v>Diluted Shares Calculation</v>
          </cell>
          <cell r="S42" t="str">
            <v>Diluted Shares Calculation</v>
          </cell>
        </row>
        <row r="43">
          <cell r="G43">
            <v>39.22</v>
          </cell>
          <cell r="L43">
            <v>21.29</v>
          </cell>
          <cell r="Q43">
            <v>12.71</v>
          </cell>
          <cell r="V43">
            <v>11.79</v>
          </cell>
          <cell r="AA43">
            <v>33.880000000000003</v>
          </cell>
        </row>
        <row r="44">
          <cell r="G44">
            <v>107.69799999999999</v>
          </cell>
          <cell r="L44">
            <v>388.3</v>
          </cell>
          <cell r="Q44">
            <v>211</v>
          </cell>
          <cell r="V44">
            <v>53.203741000000001</v>
          </cell>
          <cell r="AA44">
            <v>281.60000000000002</v>
          </cell>
        </row>
        <row r="46">
          <cell r="E46" t="str">
            <v>Total</v>
          </cell>
          <cell r="F46" t="str">
            <v>Strike</v>
          </cell>
          <cell r="G46" t="str">
            <v>Dilution</v>
          </cell>
          <cell r="J46" t="str">
            <v>Total</v>
          </cell>
          <cell r="K46" t="str">
            <v>Strike</v>
          </cell>
          <cell r="L46" t="str">
            <v>Dilution</v>
          </cell>
          <cell r="O46" t="str">
            <v>Total</v>
          </cell>
          <cell r="P46" t="str">
            <v>Strike</v>
          </cell>
          <cell r="Q46" t="str">
            <v>Dilution</v>
          </cell>
          <cell r="T46" t="str">
            <v>Total</v>
          </cell>
          <cell r="U46" t="str">
            <v>Strike</v>
          </cell>
          <cell r="V46" t="str">
            <v>Dilution</v>
          </cell>
          <cell r="Y46" t="str">
            <v>Total</v>
          </cell>
          <cell r="Z46" t="str">
            <v>Strike</v>
          </cell>
          <cell r="AA46" t="str">
            <v>Dilution</v>
          </cell>
        </row>
        <row r="47">
          <cell r="E47">
            <v>0.255</v>
          </cell>
          <cell r="F47">
            <v>20.32</v>
          </cell>
          <cell r="G47">
            <v>0.12288373278939316</v>
          </cell>
          <cell r="L47">
            <v>0</v>
          </cell>
          <cell r="O47">
            <v>21.972999999999999</v>
          </cell>
          <cell r="P47">
            <v>35.64</v>
          </cell>
          <cell r="Q47">
            <v>0</v>
          </cell>
          <cell r="V47">
            <v>0</v>
          </cell>
          <cell r="Y47">
            <v>0.57707699999999995</v>
          </cell>
          <cell r="Z47">
            <v>29.19</v>
          </cell>
          <cell r="AA47">
            <v>7.9884626033057848E-2</v>
          </cell>
        </row>
        <row r="48">
          <cell r="E48">
            <v>0.219</v>
          </cell>
          <cell r="F48">
            <v>28.18</v>
          </cell>
          <cell r="G48">
            <v>6.1646098929117793E-2</v>
          </cell>
          <cell r="L48">
            <v>0</v>
          </cell>
          <cell r="O48">
            <v>21.669</v>
          </cell>
          <cell r="P48">
            <v>35.61</v>
          </cell>
          <cell r="Q48">
            <v>0</v>
          </cell>
          <cell r="V48">
            <v>0</v>
          </cell>
          <cell r="Y48">
            <v>1.7368710000000001</v>
          </cell>
          <cell r="Z48">
            <v>50.9</v>
          </cell>
          <cell r="AA48">
            <v>0</v>
          </cell>
        </row>
        <row r="49">
          <cell r="E49">
            <v>3.3000000000000002E-2</v>
          </cell>
          <cell r="F49">
            <v>37.659999999999997</v>
          </cell>
          <cell r="G49">
            <v>1.3125956144824091E-3</v>
          </cell>
          <cell r="L49">
            <v>0</v>
          </cell>
          <cell r="O49">
            <v>15.742000000000001</v>
          </cell>
          <cell r="P49">
            <v>34.979999999999997</v>
          </cell>
          <cell r="Q49">
            <v>0</v>
          </cell>
          <cell r="V49">
            <v>0</v>
          </cell>
          <cell r="Y49">
            <v>0.62659600000000004</v>
          </cell>
          <cell r="Z49">
            <v>69.63</v>
          </cell>
          <cell r="AA49">
            <v>0</v>
          </cell>
        </row>
        <row r="50">
          <cell r="G50">
            <v>0</v>
          </cell>
          <cell r="L50">
            <v>0</v>
          </cell>
          <cell r="O50">
            <v>0.91900000000000004</v>
          </cell>
          <cell r="P50">
            <v>28.97</v>
          </cell>
          <cell r="Q50">
            <v>0</v>
          </cell>
          <cell r="V50">
            <v>0</v>
          </cell>
          <cell r="Y50">
            <v>4.5796159999999997</v>
          </cell>
          <cell r="Z50">
            <v>30.1</v>
          </cell>
          <cell r="AA50">
            <v>0.51094889256198339</v>
          </cell>
        </row>
        <row r="51">
          <cell r="G51">
            <v>0</v>
          </cell>
          <cell r="L51">
            <v>0</v>
          </cell>
          <cell r="O51">
            <v>0.80200000000000005</v>
          </cell>
          <cell r="P51">
            <v>31.63</v>
          </cell>
          <cell r="Q51">
            <v>0</v>
          </cell>
          <cell r="V51">
            <v>0</v>
          </cell>
          <cell r="Y51">
            <v>1.531004</v>
          </cell>
          <cell r="Z51">
            <v>48.93</v>
          </cell>
          <cell r="AA51">
            <v>0</v>
          </cell>
        </row>
        <row r="52">
          <cell r="G52">
            <v>0</v>
          </cell>
          <cell r="L52">
            <v>0</v>
          </cell>
          <cell r="Q52">
            <v>0</v>
          </cell>
          <cell r="V52">
            <v>0</v>
          </cell>
          <cell r="Y52">
            <v>0.15665200000000001</v>
          </cell>
          <cell r="Z52">
            <v>69.63</v>
          </cell>
          <cell r="AA52">
            <v>0</v>
          </cell>
        </row>
        <row r="53">
          <cell r="G53">
            <v>0</v>
          </cell>
          <cell r="L53">
            <v>0</v>
          </cell>
          <cell r="Q53">
            <v>0</v>
          </cell>
          <cell r="V53">
            <v>0</v>
          </cell>
        </row>
        <row r="54">
          <cell r="G54">
            <v>0</v>
          </cell>
          <cell r="L54">
            <v>0</v>
          </cell>
          <cell r="Q54">
            <v>0</v>
          </cell>
          <cell r="V54">
            <v>0</v>
          </cell>
        </row>
        <row r="55">
          <cell r="G55">
            <v>0</v>
          </cell>
          <cell r="L55">
            <v>0</v>
          </cell>
          <cell r="Q55">
            <v>0</v>
          </cell>
          <cell r="V55">
            <v>0</v>
          </cell>
        </row>
        <row r="56">
          <cell r="G56">
            <v>107.88384242733299</v>
          </cell>
          <cell r="L56">
            <v>414.1</v>
          </cell>
          <cell r="Q56">
            <v>211</v>
          </cell>
          <cell r="V56">
            <v>29.771903999999999</v>
          </cell>
          <cell r="AA56">
            <v>282.11094889256202</v>
          </cell>
        </row>
        <row r="58">
          <cell r="D58" t="str">
            <v>Valuation Metrics</v>
          </cell>
          <cell r="I58" t="str">
            <v>Valuation Metrics</v>
          </cell>
          <cell r="N58" t="str">
            <v>Valuation Metrics</v>
          </cell>
          <cell r="S58" t="str">
            <v>Valuation Metrics</v>
          </cell>
        </row>
        <row r="60">
          <cell r="G60">
            <v>4231.2043000000003</v>
          </cell>
          <cell r="L60">
            <v>8816.1890000000003</v>
          </cell>
          <cell r="Q60">
            <v>2681.8100000000004</v>
          </cell>
          <cell r="V60">
            <v>351.01074815999999</v>
          </cell>
          <cell r="AA60">
            <v>9557.9189484800027</v>
          </cell>
        </row>
        <row r="61">
          <cell r="G61">
            <v>5235.7043000000003</v>
          </cell>
          <cell r="L61">
            <v>12705.589</v>
          </cell>
          <cell r="Q61">
            <v>10409.810000000001</v>
          </cell>
          <cell r="V61">
            <v>1717.9867481600002</v>
          </cell>
          <cell r="AA61">
            <v>12977.918948480003</v>
          </cell>
        </row>
        <row r="62">
          <cell r="G62">
            <v>0.23</v>
          </cell>
          <cell r="L62">
            <v>0.74</v>
          </cell>
          <cell r="Q62">
            <v>1.1000000000000001</v>
          </cell>
          <cell r="V62">
            <v>2.2000000000000002</v>
          </cell>
          <cell r="AA62">
            <v>0.42</v>
          </cell>
        </row>
        <row r="64">
          <cell r="D64" t="str">
            <v>Valuation Multiples</v>
          </cell>
          <cell r="I64" t="str">
            <v>Valuation Multiples</v>
          </cell>
          <cell r="N64" t="str">
            <v>Valuation Multiples</v>
          </cell>
          <cell r="S64" t="str">
            <v>Valuation Multiples</v>
          </cell>
          <cell r="X64" t="str">
            <v>Valuation Multiples</v>
          </cell>
        </row>
        <row r="65">
          <cell r="D65" t="str">
            <v>TTM</v>
          </cell>
          <cell r="E65">
            <v>40544</v>
          </cell>
          <cell r="F65">
            <v>40909</v>
          </cell>
          <cell r="G65">
            <v>41274</v>
          </cell>
          <cell r="I65" t="str">
            <v>TTM</v>
          </cell>
          <cell r="J65">
            <v>40544</v>
          </cell>
          <cell r="K65">
            <v>40909</v>
          </cell>
          <cell r="L65">
            <v>41274</v>
          </cell>
          <cell r="N65" t="str">
            <v>TTM</v>
          </cell>
          <cell r="O65">
            <v>40544</v>
          </cell>
          <cell r="P65">
            <v>40909</v>
          </cell>
          <cell r="Q65">
            <v>41274</v>
          </cell>
          <cell r="S65" t="str">
            <v>TTM</v>
          </cell>
          <cell r="T65">
            <v>40544</v>
          </cell>
          <cell r="U65">
            <v>40909</v>
          </cell>
          <cell r="V65">
            <v>41274</v>
          </cell>
          <cell r="X65" t="str">
            <v>TTM</v>
          </cell>
          <cell r="Y65">
            <v>40544</v>
          </cell>
          <cell r="Z65">
            <v>40909</v>
          </cell>
          <cell r="AA65">
            <v>41274</v>
          </cell>
        </row>
        <row r="66">
          <cell r="D66">
            <v>0.46608367012658686</v>
          </cell>
          <cell r="E66">
            <v>0.46158020805783306</v>
          </cell>
          <cell r="F66">
            <v>0.45330773160173166</v>
          </cell>
          <cell r="G66" t="str">
            <v>N/A</v>
          </cell>
          <cell r="I66">
            <v>0.31102500079558004</v>
          </cell>
          <cell r="J66">
            <v>0.3099226509903405</v>
          </cell>
          <cell r="K66">
            <v>0.30343878964463128</v>
          </cell>
          <cell r="L66" t="str">
            <v>N/A</v>
          </cell>
          <cell r="N66">
            <v>0.70170610043815307</v>
          </cell>
          <cell r="O66">
            <v>0.25641820824198835</v>
          </cell>
          <cell r="P66">
            <v>0.2752607224073193</v>
          </cell>
          <cell r="Q66" t="str">
            <v>N/A</v>
          </cell>
          <cell r="S66">
            <v>0.19492522757639133</v>
          </cell>
          <cell r="T66">
            <v>0.18562394633935517</v>
          </cell>
          <cell r="U66">
            <v>0.18075699130507977</v>
          </cell>
          <cell r="V66" t="str">
            <v>N/A</v>
          </cell>
          <cell r="X66">
            <v>0.42225212131055806</v>
          </cell>
          <cell r="Y66">
            <v>0.39475182104539946</v>
          </cell>
          <cell r="Z66">
            <v>0.38646143405607369</v>
          </cell>
          <cell r="AA66">
            <v>0.37475944105137232</v>
          </cell>
        </row>
        <row r="67">
          <cell r="D67">
            <v>5.5304788211682672</v>
          </cell>
          <cell r="E67">
            <v>6.6527373570520973</v>
          </cell>
          <cell r="F67">
            <v>6.3540100728155346</v>
          </cell>
          <cell r="G67" t="str">
            <v>N/A</v>
          </cell>
          <cell r="I67">
            <v>2.7905358986185256</v>
          </cell>
          <cell r="J67">
            <v>5.3542305099030765</v>
          </cell>
          <cell r="K67">
            <v>5.1108563958165725</v>
          </cell>
          <cell r="L67" t="str">
            <v>N/A</v>
          </cell>
          <cell r="N67">
            <v>9.506675799086759</v>
          </cell>
          <cell r="O67">
            <v>4.7167240598096969</v>
          </cell>
          <cell r="P67">
            <v>5.1330424063116373</v>
          </cell>
          <cell r="Q67" t="str">
            <v>N/A</v>
          </cell>
          <cell r="S67">
            <v>2.4047158944268414</v>
          </cell>
          <cell r="T67">
            <v>5.2060204489696975</v>
          </cell>
          <cell r="U67">
            <v>4.9085335661714291</v>
          </cell>
          <cell r="V67" t="str">
            <v>N/A</v>
          </cell>
          <cell r="X67">
            <v>7.1464311390308382</v>
          </cell>
          <cell r="Y67">
            <v>6.8740494163344756</v>
          </cell>
          <cell r="Z67">
            <v>6.7296839522455745</v>
          </cell>
          <cell r="AA67">
            <v>5.5580531380866791</v>
          </cell>
        </row>
        <row r="68">
          <cell r="D68">
            <v>6.9109085269271358</v>
          </cell>
          <cell r="E68">
            <v>8.9346489761092158</v>
          </cell>
          <cell r="F68">
            <v>8.4175310289389067</v>
          </cell>
          <cell r="G68" t="str">
            <v>N/A</v>
          </cell>
          <cell r="I68">
            <v>3.7622779899914169</v>
          </cell>
          <cell r="J68">
            <v>10.614527151211362</v>
          </cell>
          <cell r="K68">
            <v>9.8876178988326853</v>
          </cell>
          <cell r="L68" t="str">
            <v>N/A</v>
          </cell>
          <cell r="N68">
            <v>12.26126030624264</v>
          </cell>
          <cell r="O68">
            <v>8.3278480000000012</v>
          </cell>
          <cell r="P68">
            <v>9.6476459684893427</v>
          </cell>
          <cell r="Q68" t="str">
            <v>N/A</v>
          </cell>
          <cell r="S68">
            <v>3.6987154467988059</v>
          </cell>
          <cell r="T68">
            <v>26.030102244848486</v>
          </cell>
          <cell r="U68">
            <v>22.025471130256413</v>
          </cell>
          <cell r="V68" t="str">
            <v>N/A</v>
          </cell>
          <cell r="X68">
            <v>10.576951058255911</v>
          </cell>
          <cell r="Y68">
            <v>11.04425402795845</v>
          </cell>
          <cell r="Z68">
            <v>11.311317442333991</v>
          </cell>
          <cell r="AA68">
            <v>8.7443594165836718</v>
          </cell>
        </row>
        <row r="69">
          <cell r="D69">
            <v>7.4522212570555757</v>
          </cell>
          <cell r="E69">
            <v>11.016853932584269</v>
          </cell>
          <cell r="F69">
            <v>9.8790931989924431</v>
          </cell>
          <cell r="G69" t="str">
            <v>N/A</v>
          </cell>
          <cell r="I69">
            <v>12.522728919128186</v>
          </cell>
          <cell r="J69">
            <v>13.735483870967741</v>
          </cell>
          <cell r="K69">
            <v>11.633879781420765</v>
          </cell>
          <cell r="L69" t="str">
            <v>N/A</v>
          </cell>
          <cell r="N69">
            <v>4.1972141795132636</v>
          </cell>
          <cell r="O69">
            <v>6.833333333333333</v>
          </cell>
          <cell r="P69">
            <v>5.2958333333333343</v>
          </cell>
          <cell r="Q69" t="str">
            <v>N/A</v>
          </cell>
          <cell r="S69">
            <v>-1.7244609414678849</v>
          </cell>
          <cell r="T69">
            <v>-5.509345794392523</v>
          </cell>
          <cell r="U69">
            <v>-6.2712765957446805</v>
          </cell>
          <cell r="V69" t="str">
            <v>N/A</v>
          </cell>
          <cell r="X69">
            <v>14.221950837998136</v>
          </cell>
          <cell r="Y69">
            <v>13.650823869209946</v>
          </cell>
          <cell r="Z69">
            <v>13.68600429031331</v>
          </cell>
          <cell r="AA69">
            <v>10.159447344323581</v>
          </cell>
        </row>
        <row r="71">
          <cell r="D71" t="str">
            <v>Lookup Variables</v>
          </cell>
          <cell r="I71" t="str">
            <v>Lookup Variables</v>
          </cell>
          <cell r="N71" t="str">
            <v>Lookup Variables</v>
          </cell>
          <cell r="S71" t="str">
            <v>Lookup Variables</v>
          </cell>
        </row>
        <row r="73">
          <cell r="G73">
            <v>11343</v>
          </cell>
          <cell r="L73">
            <v>40996</v>
          </cell>
          <cell r="Q73">
            <v>40597</v>
          </cell>
          <cell r="V73">
            <v>9255.2000000000007</v>
          </cell>
          <cell r="AA73">
            <v>32876.147129888588</v>
          </cell>
        </row>
        <row r="74">
          <cell r="G74">
            <v>787</v>
          </cell>
          <cell r="L74">
            <v>2373</v>
          </cell>
          <cell r="Q74">
            <v>2207</v>
          </cell>
          <cell r="V74">
            <v>330</v>
          </cell>
          <cell r="AA74">
            <v>1887.9583433952619</v>
          </cell>
        </row>
        <row r="75">
          <cell r="G75">
            <v>586</v>
          </cell>
          <cell r="L75">
            <v>1197</v>
          </cell>
          <cell r="Q75">
            <v>1250</v>
          </cell>
          <cell r="V75">
            <v>66</v>
          </cell>
          <cell r="AA75">
            <v>1175.0833433952619</v>
          </cell>
        </row>
        <row r="76">
          <cell r="G76">
            <v>3.56</v>
          </cell>
          <cell r="L76">
            <v>1.55</v>
          </cell>
          <cell r="Q76">
            <v>1.86</v>
          </cell>
          <cell r="V76">
            <v>-2.14</v>
          </cell>
          <cell r="AA76">
            <v>2.4819014826217107</v>
          </cell>
        </row>
        <row r="78">
          <cell r="G78">
            <v>11550</v>
          </cell>
          <cell r="L78">
            <v>41872</v>
          </cell>
          <cell r="Q78">
            <v>37818</v>
          </cell>
          <cell r="V78">
            <v>9504.4</v>
          </cell>
          <cell r="AA78">
            <v>33581.407625261178</v>
          </cell>
        </row>
        <row r="79">
          <cell r="G79">
            <v>824</v>
          </cell>
          <cell r="L79">
            <v>2486</v>
          </cell>
          <cell r="Q79">
            <v>2028</v>
          </cell>
          <cell r="V79">
            <v>350</v>
          </cell>
          <cell r="AA79">
            <v>1928.4589054363398</v>
          </cell>
        </row>
        <row r="80">
          <cell r="G80">
            <v>622</v>
          </cell>
          <cell r="L80">
            <v>1285</v>
          </cell>
          <cell r="Q80">
            <v>1079</v>
          </cell>
          <cell r="V80">
            <v>78</v>
          </cell>
          <cell r="AA80">
            <v>1147.3392922303242</v>
          </cell>
        </row>
        <row r="81">
          <cell r="G81">
            <v>3.97</v>
          </cell>
          <cell r="L81">
            <v>1.83</v>
          </cell>
          <cell r="Q81">
            <v>2.4</v>
          </cell>
          <cell r="V81">
            <v>-1.88</v>
          </cell>
          <cell r="AA81">
            <v>2.4755216556507742</v>
          </cell>
        </row>
        <row r="83">
          <cell r="G83" t="str">
            <v>N/A</v>
          </cell>
          <cell r="L83" t="str">
            <v>N/A</v>
          </cell>
          <cell r="Q83" t="str">
            <v>N/A</v>
          </cell>
          <cell r="V83" t="str">
            <v>N/A</v>
          </cell>
          <cell r="AA83">
            <v>34629.998678808413</v>
          </cell>
        </row>
        <row r="84">
          <cell r="G84" t="str">
            <v>N/A</v>
          </cell>
          <cell r="L84" t="str">
            <v>N/A</v>
          </cell>
          <cell r="Q84" t="str">
            <v>N/A</v>
          </cell>
          <cell r="V84" t="str">
            <v>N/A</v>
          </cell>
          <cell r="AA84">
            <v>2334.9756877185164</v>
          </cell>
        </row>
        <row r="85">
          <cell r="G85" t="str">
            <v>N/A</v>
          </cell>
          <cell r="L85" t="str">
            <v>N/A</v>
          </cell>
          <cell r="Q85" t="str">
            <v>N/A</v>
          </cell>
          <cell r="V85" t="str">
            <v>N/A</v>
          </cell>
          <cell r="AA85">
            <v>1484.147474984547</v>
          </cell>
        </row>
        <row r="86">
          <cell r="G86" t="str">
            <v>N/A</v>
          </cell>
          <cell r="L86" t="str">
            <v>N/A</v>
          </cell>
          <cell r="Q86" t="str">
            <v>N/A</v>
          </cell>
          <cell r="V86" t="str">
            <v>N/A</v>
          </cell>
          <cell r="AA86">
            <v>3.3348270680225411</v>
          </cell>
        </row>
        <row r="88">
          <cell r="G88">
            <v>0.46608367012658686</v>
          </cell>
          <cell r="L88">
            <v>0.31102500079558004</v>
          </cell>
          <cell r="Q88">
            <v>0.70170610043815307</v>
          </cell>
          <cell r="V88">
            <v>0.19492522757639133</v>
          </cell>
          <cell r="AA88">
            <v>0.42225212131055806</v>
          </cell>
        </row>
        <row r="89">
          <cell r="G89">
            <v>5.5304788211682672</v>
          </cell>
          <cell r="L89">
            <v>2.7905358986185256</v>
          </cell>
          <cell r="Q89">
            <v>9.506675799086759</v>
          </cell>
          <cell r="V89">
            <v>2.4047158944268414</v>
          </cell>
          <cell r="AA89">
            <v>7.1464311390308382</v>
          </cell>
        </row>
        <row r="90">
          <cell r="G90">
            <v>6.9109085269271358</v>
          </cell>
          <cell r="L90">
            <v>3.7622779899914169</v>
          </cell>
          <cell r="Q90">
            <v>12.26126030624264</v>
          </cell>
          <cell r="V90">
            <v>3.6987154467988059</v>
          </cell>
          <cell r="AA90">
            <v>10.576951058255911</v>
          </cell>
        </row>
        <row r="91">
          <cell r="G91">
            <v>7.4522212570555757</v>
          </cell>
          <cell r="L91">
            <v>12.522728919128186</v>
          </cell>
          <cell r="Q91">
            <v>4.1972141795132636</v>
          </cell>
          <cell r="V91">
            <v>-1.7244609414678849</v>
          </cell>
          <cell r="AA91">
            <v>14.221950837998136</v>
          </cell>
        </row>
        <row r="93">
          <cell r="G93">
            <v>0.46158020805783306</v>
          </cell>
          <cell r="L93">
            <v>0.3099226509903405</v>
          </cell>
          <cell r="Q93">
            <v>0.25641820824198835</v>
          </cell>
          <cell r="V93">
            <v>0.18562394633935517</v>
          </cell>
          <cell r="AA93">
            <v>0.39475182104539946</v>
          </cell>
        </row>
        <row r="94">
          <cell r="G94">
            <v>6.6527373570520973</v>
          </cell>
          <cell r="L94">
            <v>5.3542305099030765</v>
          </cell>
          <cell r="Q94">
            <v>4.7167240598096969</v>
          </cell>
          <cell r="V94">
            <v>5.2060204489696975</v>
          </cell>
          <cell r="AA94">
            <v>6.8740494163344756</v>
          </cell>
        </row>
        <row r="95">
          <cell r="G95">
            <v>8.9346489761092158</v>
          </cell>
          <cell r="L95">
            <v>10.614527151211362</v>
          </cell>
          <cell r="Q95">
            <v>8.3278480000000012</v>
          </cell>
          <cell r="V95">
            <v>26.030102244848486</v>
          </cell>
          <cell r="AA95">
            <v>11.04425402795845</v>
          </cell>
        </row>
        <row r="96">
          <cell r="G96">
            <v>11.016853932584269</v>
          </cell>
          <cell r="L96">
            <v>13.735483870967741</v>
          </cell>
          <cell r="Q96">
            <v>6.833333333333333</v>
          </cell>
          <cell r="V96">
            <v>-5.509345794392523</v>
          </cell>
          <cell r="AA96">
            <v>13.650823869209946</v>
          </cell>
        </row>
        <row r="98">
          <cell r="G98">
            <v>0.45330773160173166</v>
          </cell>
          <cell r="L98">
            <v>0.30343878964463128</v>
          </cell>
          <cell r="Q98">
            <v>0.2752607224073193</v>
          </cell>
          <cell r="V98">
            <v>0.18075699130507977</v>
          </cell>
          <cell r="AA98">
            <v>0.38646143405607369</v>
          </cell>
        </row>
        <row r="99">
          <cell r="G99">
            <v>6.3540100728155346</v>
          </cell>
          <cell r="L99">
            <v>5.1108563958165725</v>
          </cell>
          <cell r="Q99">
            <v>5.1330424063116373</v>
          </cell>
          <cell r="V99">
            <v>4.9085335661714291</v>
          </cell>
          <cell r="AA99">
            <v>6.7296839522455745</v>
          </cell>
        </row>
        <row r="100">
          <cell r="G100">
            <v>8.4175310289389067</v>
          </cell>
          <cell r="L100">
            <v>9.8876178988326853</v>
          </cell>
          <cell r="Q100">
            <v>9.6476459684893427</v>
          </cell>
          <cell r="V100">
            <v>22.025471130256413</v>
          </cell>
          <cell r="AA100">
            <v>11.311317442333991</v>
          </cell>
        </row>
        <row r="101">
          <cell r="G101">
            <v>9.8790931989924431</v>
          </cell>
          <cell r="L101">
            <v>11.633879781420765</v>
          </cell>
          <cell r="Q101">
            <v>5.2958333333333343</v>
          </cell>
          <cell r="V101">
            <v>-6.2712765957446805</v>
          </cell>
          <cell r="AA101">
            <v>13.68600429031331</v>
          </cell>
        </row>
        <row r="103">
          <cell r="G103" t="str">
            <v>N/A</v>
          </cell>
          <cell r="L103" t="str">
            <v>N/A</v>
          </cell>
          <cell r="Q103" t="str">
            <v>N/A</v>
          </cell>
          <cell r="V103" t="str">
            <v>N/A</v>
          </cell>
          <cell r="AA103">
            <v>0.37475944105137232</v>
          </cell>
        </row>
        <row r="104">
          <cell r="G104" t="str">
            <v>N/A</v>
          </cell>
          <cell r="L104" t="str">
            <v>N/A</v>
          </cell>
          <cell r="Q104" t="str">
            <v>N/A</v>
          </cell>
          <cell r="V104" t="str">
            <v>N/A</v>
          </cell>
          <cell r="AA104">
            <v>5.5580531380866791</v>
          </cell>
        </row>
        <row r="105">
          <cell r="G105" t="str">
            <v>N/A</v>
          </cell>
          <cell r="L105" t="str">
            <v>N/A</v>
          </cell>
          <cell r="Q105" t="str">
            <v>N/A</v>
          </cell>
          <cell r="V105" t="str">
            <v>N/A</v>
          </cell>
          <cell r="AA105">
            <v>8.7443594165836718</v>
          </cell>
        </row>
        <row r="106">
          <cell r="G106" t="str">
            <v>N/A</v>
          </cell>
          <cell r="L106" t="str">
            <v>N/A</v>
          </cell>
          <cell r="Q106" t="str">
            <v>N/A</v>
          </cell>
          <cell r="V106" t="str">
            <v>N/A</v>
          </cell>
          <cell r="AA106">
            <v>10.159447344323581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Revenue Build"/>
      <sheetName val="Valuation Summary"/>
      <sheetName val="Valuation Graph"/>
      <sheetName val="Public Comps"/>
      <sheetName val="Public-Comps-Data"/>
      <sheetName val="Operating Model"/>
      <sheetName val="DCF"/>
      <sheetName val="Dividend Discount"/>
      <sheetName val="WACC"/>
      <sheetName val="Residual Income"/>
      <sheetName val="Share-Calculations"/>
      <sheetName val="Future-Share-Price"/>
      <sheetName val="Loblaw mkt share"/>
      <sheetName val="As reported statements"/>
      <sheetName val="Ratios"/>
    </sheetNames>
    <sheetDataSet>
      <sheetData sheetId="0">
        <row r="13">
          <cell r="L13">
            <v>40544</v>
          </cell>
        </row>
        <row r="14">
          <cell r="L14">
            <v>40909</v>
          </cell>
        </row>
        <row r="15">
          <cell r="L15">
            <v>41274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Page"/>
      <sheetName val="Assumptions"/>
      <sheetName val="Scenarios "/>
      <sheetName val="Model"/>
      <sheetName val="Shoppers Historical Analysis"/>
      <sheetName val="Common Size Analysis"/>
      <sheetName val="WACC"/>
      <sheetName val="Valuation - DDM"/>
      <sheetName val="FCF"/>
      <sheetName val="DCF Valuation Schedule"/>
    </sheetNames>
    <sheetDataSet>
      <sheetData sheetId="0" refreshError="1"/>
      <sheetData sheetId="1" refreshError="1">
        <row r="21">
          <cell r="E21">
            <v>0.1</v>
          </cell>
        </row>
        <row r="22">
          <cell r="E22">
            <v>-0.3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Page"/>
      <sheetName val="Scenarios "/>
      <sheetName val="Assumptions"/>
      <sheetName val="Model"/>
      <sheetName val="Shoppers Historical Analysis"/>
      <sheetName val="WACC"/>
      <sheetName val="Historical statement analysis"/>
      <sheetName val="METRO MODEL"/>
      <sheetName val="Sheet4"/>
    </sheetNames>
    <sheetDataSet>
      <sheetData sheetId="0" refreshError="1">
        <row r="14">
          <cell r="B14" t="str">
            <v>Metro. Inc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11">
          <cell r="D11">
            <v>-9333.6</v>
          </cell>
          <cell r="E11">
            <v>-9485.9</v>
          </cell>
          <cell r="F11">
            <v>-9237</v>
          </cell>
        </row>
        <row r="184">
          <cell r="E184">
            <v>0.1588463716527786</v>
          </cell>
          <cell r="F184">
            <v>0.18283045305931814</v>
          </cell>
        </row>
      </sheetData>
      <sheetData sheetId="7" refreshError="1"/>
      <sheetData sheetId="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Page"/>
      <sheetName val="Scenarios "/>
      <sheetName val="Assumptions"/>
      <sheetName val="Model"/>
      <sheetName val="Sheet3"/>
      <sheetName val="Shoppers Historical Analysis"/>
      <sheetName val="Common Size Analysis"/>
      <sheetName val="WACC"/>
      <sheetName val="Valuation - DDM"/>
      <sheetName val="FCF"/>
      <sheetName val="DCF Valuation Schedule"/>
      <sheetName val="Historical statement analysis"/>
      <sheetName val="METRO MODEL"/>
      <sheetName val="Sheet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84">
          <cell r="D184" t="str">
            <v>n/a</v>
          </cell>
        </row>
      </sheetData>
      <sheetData sheetId="12"/>
      <sheetData sheetId="1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Page"/>
      <sheetName val="Scenarios "/>
      <sheetName val="Assumptions"/>
      <sheetName val="Model"/>
      <sheetName val="Shoppers Historical Analysis"/>
      <sheetName val="Common Size Analysis"/>
      <sheetName val="WACC"/>
      <sheetName val="Valuation - DDM"/>
      <sheetName val="FCF"/>
      <sheetName val="DCF Valuation Schedule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Page"/>
      <sheetName val="Assumptions"/>
      <sheetName val="Scenarios "/>
      <sheetName val="Model"/>
      <sheetName val="Shoppers Historical Analysis"/>
      <sheetName val="Common Size Analysis"/>
      <sheetName val="WACC"/>
      <sheetName val="Valuation - DDM"/>
      <sheetName val="FCF"/>
      <sheetName val="DCF Valuation Schedule"/>
    </sheetNames>
    <sheetDataSet>
      <sheetData sheetId="0"/>
      <sheetData sheetId="1"/>
      <sheetData sheetId="2"/>
      <sheetData sheetId="3">
        <row r="1">
          <cell r="I1" t="str">
            <v>CURRENTLY RUNNING: BASE CASE SALES &amp; STORE EXPANSION</v>
          </cell>
          <cell r="O1" t="str">
            <v xml:space="preserve"> BASE CASE COST</v>
          </cell>
        </row>
        <row r="3">
          <cell r="D3" t="str">
            <v xml:space="preserve">Shoppers Drug Mart </v>
          </cell>
        </row>
        <row r="76">
          <cell r="F76">
            <v>1.9532345971563982</v>
          </cell>
          <cell r="G76">
            <v>2.2654048582995951</v>
          </cell>
          <cell r="H76">
            <v>2.6344827586206896</v>
          </cell>
          <cell r="I76">
            <v>2.6947126436781628</v>
          </cell>
          <cell r="J76">
            <v>2.7194666666666683</v>
          </cell>
          <cell r="K76">
            <v>2.8372088724584135</v>
          </cell>
          <cell r="L76">
            <v>3.0894510516253026</v>
          </cell>
          <cell r="M76">
            <v>3.1956760000115878</v>
          </cell>
          <cell r="N76">
            <v>3.267053207873547</v>
          </cell>
          <cell r="O76">
            <v>3.2971634535276624</v>
          </cell>
          <cell r="P76">
            <v>3.3124363367507361</v>
          </cell>
          <cell r="Q76">
            <v>4.0193021525484252</v>
          </cell>
        </row>
        <row r="77">
          <cell r="F77">
            <v>0.48</v>
          </cell>
          <cell r="G77">
            <v>0.64</v>
          </cell>
          <cell r="H77">
            <v>0.86</v>
          </cell>
          <cell r="I77">
            <v>0.86</v>
          </cell>
          <cell r="J77">
            <v>0.86</v>
          </cell>
          <cell r="K77">
            <v>0.97499999999999998</v>
          </cell>
          <cell r="L77">
            <v>1.06</v>
          </cell>
          <cell r="M77">
            <v>1.06</v>
          </cell>
          <cell r="N77">
            <v>1.06</v>
          </cell>
          <cell r="O77">
            <v>1.06</v>
          </cell>
          <cell r="P77">
            <v>1.06</v>
          </cell>
          <cell r="Q77">
            <v>1.06</v>
          </cell>
        </row>
      </sheetData>
      <sheetData sheetId="4"/>
      <sheetData sheetId="5"/>
      <sheetData sheetId="6">
        <row r="61">
          <cell r="P61">
            <v>6.0150666666666665E-2</v>
          </cell>
        </row>
        <row r="68">
          <cell r="P68">
            <v>7.8610124244463314E-2</v>
          </cell>
        </row>
      </sheetData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Relationship Id="rId4" Type="http://schemas.openxmlformats.org/officeDocument/2006/relationships/ctrlProp" Target="../ctrlProps/ctrlProp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29"/>
  <sheetViews>
    <sheetView topLeftCell="A16" zoomScale="125" zoomScaleNormal="125" zoomScalePageLayoutView="125" workbookViewId="0">
      <selection activeCell="B25" sqref="B25"/>
    </sheetView>
  </sheetViews>
  <sheetFormatPr baseColWidth="10" defaultColWidth="10.83203125" defaultRowHeight="13"/>
  <cols>
    <col min="1" max="1" width="10.83203125" style="567"/>
    <col min="2" max="2" width="48.83203125" style="567" bestFit="1" customWidth="1"/>
    <col min="3" max="16384" width="10.83203125" style="567"/>
  </cols>
  <sheetData>
    <row r="2" spans="1:10" ht="12" customHeight="1">
      <c r="H2" s="568"/>
      <c r="I2" s="568"/>
      <c r="J2" s="568"/>
    </row>
    <row r="3" spans="1:10">
      <c r="A3" s="569"/>
      <c r="B3" s="570"/>
      <c r="C3" s="570"/>
      <c r="D3" s="570"/>
      <c r="E3" s="570"/>
      <c r="F3" s="571"/>
      <c r="G3" s="568"/>
      <c r="H3" s="568"/>
      <c r="I3" s="568"/>
      <c r="J3" s="568"/>
    </row>
    <row r="4" spans="1:10">
      <c r="A4" s="572"/>
      <c r="B4" s="568"/>
      <c r="C4" s="568"/>
      <c r="D4" s="568"/>
      <c r="E4" s="568"/>
      <c r="F4" s="573"/>
      <c r="G4" s="568"/>
      <c r="H4" s="568"/>
      <c r="I4" s="568"/>
      <c r="J4" s="568"/>
    </row>
    <row r="5" spans="1:10">
      <c r="A5" s="572"/>
      <c r="B5" s="568"/>
      <c r="C5" s="568"/>
      <c r="D5" s="568"/>
      <c r="E5" s="568"/>
      <c r="F5" s="573"/>
      <c r="G5" s="568"/>
      <c r="H5" s="568"/>
      <c r="I5" s="568"/>
      <c r="J5" s="568"/>
    </row>
    <row r="6" spans="1:10">
      <c r="A6" s="572"/>
      <c r="B6" s="568"/>
      <c r="C6" s="568"/>
      <c r="D6" s="568"/>
      <c r="E6" s="568"/>
      <c r="F6" s="573"/>
      <c r="G6" s="568"/>
      <c r="H6" s="568"/>
      <c r="I6" s="568"/>
      <c r="J6" s="568"/>
    </row>
    <row r="7" spans="1:10">
      <c r="A7" s="572"/>
      <c r="B7" s="568"/>
      <c r="C7" s="568"/>
      <c r="D7" s="568"/>
      <c r="E7" s="568"/>
      <c r="F7" s="573"/>
      <c r="G7" s="568"/>
      <c r="H7" s="568"/>
      <c r="I7" s="568"/>
      <c r="J7" s="568"/>
    </row>
    <row r="8" spans="1:10">
      <c r="A8" s="572"/>
      <c r="B8" s="568"/>
      <c r="C8" s="568"/>
      <c r="D8" s="568"/>
      <c r="E8" s="568"/>
      <c r="F8" s="573"/>
      <c r="G8" s="568"/>
      <c r="H8" s="568"/>
      <c r="I8" s="568"/>
      <c r="J8" s="568"/>
    </row>
    <row r="9" spans="1:10">
      <c r="A9" s="572"/>
      <c r="C9" s="568"/>
      <c r="D9" s="568"/>
      <c r="E9" s="568"/>
      <c r="F9" s="573"/>
      <c r="G9" s="568"/>
      <c r="H9" s="568"/>
      <c r="I9" s="568"/>
      <c r="J9" s="568"/>
    </row>
    <row r="10" spans="1:10" ht="18">
      <c r="A10" s="572"/>
      <c r="B10" s="574" t="s">
        <v>255</v>
      </c>
      <c r="C10" s="568"/>
      <c r="D10" s="568"/>
      <c r="E10" s="568"/>
      <c r="F10" s="573"/>
      <c r="G10" s="568"/>
      <c r="H10" s="568"/>
      <c r="I10" s="568"/>
      <c r="J10" s="568"/>
    </row>
    <row r="11" spans="1:10" ht="16">
      <c r="A11" s="583"/>
      <c r="B11" s="584"/>
      <c r="C11" s="584"/>
      <c r="D11" s="584"/>
      <c r="E11" s="584"/>
      <c r="F11" s="585"/>
      <c r="G11" s="568"/>
      <c r="H11" s="568"/>
      <c r="I11" s="568"/>
      <c r="J11" s="568"/>
    </row>
    <row r="12" spans="1:10" ht="16">
      <c r="A12" s="583"/>
      <c r="B12" s="584"/>
      <c r="C12" s="584"/>
      <c r="D12" s="584"/>
      <c r="E12" s="584"/>
      <c r="F12" s="585"/>
      <c r="G12" s="568"/>
      <c r="H12" s="568"/>
      <c r="I12" s="568"/>
      <c r="J12" s="568"/>
    </row>
    <row r="13" spans="1:10" ht="16">
      <c r="A13" s="583"/>
      <c r="B13" s="584"/>
      <c r="C13" s="584"/>
      <c r="D13" s="584"/>
      <c r="E13" s="584"/>
      <c r="F13" s="585"/>
      <c r="G13" s="568"/>
      <c r="H13" s="568"/>
      <c r="I13" s="568"/>
      <c r="J13" s="568"/>
    </row>
    <row r="14" spans="1:10" ht="46">
      <c r="A14" s="583"/>
      <c r="B14" s="586" t="s">
        <v>370</v>
      </c>
      <c r="C14" s="584"/>
      <c r="D14" s="584"/>
      <c r="E14" s="584"/>
      <c r="F14" s="585"/>
      <c r="G14" s="568"/>
      <c r="H14" s="568"/>
      <c r="I14" s="568"/>
      <c r="J14" s="568"/>
    </row>
    <row r="15" spans="1:10" ht="16">
      <c r="A15" s="583"/>
      <c r="B15" s="584"/>
      <c r="C15" s="584"/>
      <c r="D15" s="584"/>
      <c r="E15" s="584"/>
      <c r="F15" s="585"/>
      <c r="G15" s="568"/>
      <c r="H15" s="568"/>
      <c r="I15" s="568"/>
      <c r="J15" s="568"/>
    </row>
    <row r="16" spans="1:10" ht="25">
      <c r="A16" s="572"/>
      <c r="B16" s="575" t="s">
        <v>478</v>
      </c>
      <c r="C16" s="568"/>
      <c r="D16" s="568"/>
      <c r="E16" s="568"/>
      <c r="F16" s="573"/>
      <c r="G16" s="568"/>
      <c r="H16" s="568"/>
      <c r="I16" s="568"/>
      <c r="J16" s="568"/>
    </row>
    <row r="17" spans="1:10">
      <c r="A17" s="572"/>
      <c r="B17" s="568" t="s">
        <v>254</v>
      </c>
      <c r="C17" s="568"/>
      <c r="D17" s="568"/>
      <c r="E17" s="568"/>
      <c r="F17" s="573"/>
      <c r="G17" s="568"/>
      <c r="H17" s="568"/>
      <c r="I17" s="568"/>
      <c r="J17" s="568"/>
    </row>
    <row r="18" spans="1:10" ht="18">
      <c r="A18" s="572"/>
      <c r="B18" s="576" t="s">
        <v>771</v>
      </c>
      <c r="C18" s="568"/>
      <c r="D18" s="568"/>
      <c r="E18" s="568"/>
      <c r="F18" s="573"/>
      <c r="G18" s="568"/>
      <c r="H18" s="568"/>
      <c r="I18" s="568"/>
      <c r="J18" s="568"/>
    </row>
    <row r="19" spans="1:10">
      <c r="A19" s="572"/>
      <c r="B19" s="568"/>
      <c r="C19" s="568"/>
      <c r="D19" s="568"/>
      <c r="E19" s="568"/>
      <c r="F19" s="573"/>
      <c r="G19" s="568"/>
      <c r="H19" s="568"/>
      <c r="I19" s="568"/>
      <c r="J19" s="568"/>
    </row>
    <row r="20" spans="1:10">
      <c r="A20" s="572"/>
      <c r="B20" s="568"/>
      <c r="C20" s="568"/>
      <c r="D20" s="568"/>
      <c r="E20" s="568"/>
      <c r="F20" s="573"/>
      <c r="G20" s="568"/>
      <c r="H20" s="568"/>
      <c r="I20" s="568"/>
      <c r="J20" s="568"/>
    </row>
    <row r="21" spans="1:10" ht="18">
      <c r="A21" s="572"/>
      <c r="B21" s="577" t="s">
        <v>772</v>
      </c>
      <c r="C21" s="568"/>
      <c r="D21" s="568"/>
      <c r="E21" s="568"/>
      <c r="F21" s="573"/>
      <c r="G21" s="568"/>
      <c r="H21" s="568"/>
      <c r="I21" s="568"/>
      <c r="J21" s="568"/>
    </row>
    <row r="22" spans="1:10">
      <c r="A22" s="572"/>
      <c r="B22" s="568"/>
      <c r="C22" s="568"/>
      <c r="D22" s="568"/>
      <c r="E22" s="568"/>
      <c r="F22" s="573"/>
      <c r="G22" s="568"/>
      <c r="H22" s="568"/>
      <c r="I22" s="568"/>
      <c r="J22" s="568"/>
    </row>
    <row r="23" spans="1:10">
      <c r="A23" s="572"/>
      <c r="B23" s="568"/>
      <c r="C23" s="568"/>
      <c r="D23" s="568"/>
      <c r="E23" s="568"/>
      <c r="F23" s="573"/>
      <c r="G23" s="568"/>
      <c r="H23" s="568"/>
      <c r="I23" s="568"/>
      <c r="J23" s="568"/>
    </row>
    <row r="24" spans="1:10">
      <c r="A24" s="572"/>
      <c r="B24" s="568"/>
      <c r="C24" s="568"/>
      <c r="D24" s="568"/>
      <c r="E24" s="568"/>
      <c r="F24" s="573"/>
      <c r="G24" s="568"/>
      <c r="H24" s="568"/>
      <c r="I24" s="568"/>
      <c r="J24" s="568"/>
    </row>
    <row r="25" spans="1:10">
      <c r="A25" s="572"/>
      <c r="C25" s="568"/>
      <c r="D25" s="568"/>
      <c r="E25" s="568"/>
      <c r="F25" s="573"/>
      <c r="G25" s="568"/>
      <c r="H25" s="568"/>
      <c r="I25" s="568"/>
      <c r="J25" s="568"/>
    </row>
    <row r="26" spans="1:10">
      <c r="A26" s="572"/>
      <c r="C26" s="568"/>
      <c r="D26" s="568"/>
      <c r="E26" s="568"/>
      <c r="F26" s="573"/>
      <c r="G26" s="568"/>
      <c r="H26" s="568"/>
      <c r="I26" s="568"/>
      <c r="J26" s="568"/>
    </row>
    <row r="27" spans="1:10">
      <c r="A27" s="572"/>
      <c r="C27" s="568"/>
      <c r="D27" s="568"/>
      <c r="E27" s="568"/>
      <c r="F27" s="573"/>
      <c r="G27" s="568"/>
    </row>
    <row r="28" spans="1:10">
      <c r="A28" s="578"/>
      <c r="F28" s="579"/>
    </row>
    <row r="29" spans="1:10">
      <c r="A29" s="580"/>
      <c r="B29" s="581"/>
      <c r="C29" s="581"/>
      <c r="D29" s="581"/>
      <c r="E29" s="581"/>
      <c r="F29" s="582"/>
    </row>
  </sheetData>
  <phoneticPr fontId="52" type="noConversion"/>
  <pageMargins left="0.75000000000000011" right="0.75000000000000011" top="1" bottom="1" header="0.5" footer="0.5"/>
  <pageSetup orientation="landscape" horizontalDpi="4294967292" verticalDpi="4294967292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2:K28"/>
  <sheetViews>
    <sheetView tabSelected="1" workbookViewId="0">
      <selection activeCell="C13" sqref="C13"/>
    </sheetView>
  </sheetViews>
  <sheetFormatPr baseColWidth="10" defaultColWidth="8.83203125" defaultRowHeight="15"/>
  <sheetData>
    <row r="2" spans="2:11">
      <c r="C2" t="s">
        <v>769</v>
      </c>
      <c r="D2">
        <v>1</v>
      </c>
      <c r="E2">
        <v>2</v>
      </c>
      <c r="F2">
        <v>3</v>
      </c>
      <c r="G2">
        <v>4</v>
      </c>
      <c r="H2">
        <v>5</v>
      </c>
      <c r="I2">
        <v>6</v>
      </c>
    </row>
    <row r="3" spans="2:11">
      <c r="C3" s="1063" t="s">
        <v>742</v>
      </c>
      <c r="D3" s="1063" t="s">
        <v>733</v>
      </c>
      <c r="E3" s="1063" t="s">
        <v>734</v>
      </c>
      <c r="F3" s="1063" t="s">
        <v>735</v>
      </c>
      <c r="G3" s="1063" t="s">
        <v>736</v>
      </c>
      <c r="H3" s="1063" t="s">
        <v>737</v>
      </c>
      <c r="I3" s="1063" t="s">
        <v>738</v>
      </c>
    </row>
    <row r="4" spans="2:11">
      <c r="C4" s="1063" t="s">
        <v>739</v>
      </c>
      <c r="D4" s="1064">
        <f ca="1">'Metro Modeling'!I122</f>
        <v>709.48835758667178</v>
      </c>
      <c r="E4" s="1064">
        <f ca="1">'Metro Modeling'!J122</f>
        <v>665.40659125191655</v>
      </c>
      <c r="F4" s="1064">
        <f ca="1">'Metro Modeling'!K122</f>
        <v>704.62184293973041</v>
      </c>
      <c r="G4" s="1064">
        <f ca="1">'Metro Modeling'!L122</f>
        <v>727.52651311513227</v>
      </c>
      <c r="H4" s="1064">
        <f ca="1">'Metro Modeling'!M122</f>
        <v>760.60880665783884</v>
      </c>
      <c r="I4" s="1064">
        <f ca="1">'Metro Modeling'!N122</f>
        <v>566.35406704082561</v>
      </c>
    </row>
    <row r="5" spans="2:11">
      <c r="C5" s="1063" t="s">
        <v>740</v>
      </c>
      <c r="D5">
        <f ca="1">'Metro Modeling'!G403</f>
        <v>36.288821957113015</v>
      </c>
      <c r="E5" s="1028">
        <f ca="1">'Metro Modeling'!H403</f>
        <v>29.598985564571535</v>
      </c>
      <c r="F5" s="1028">
        <f ca="1">'Metro Modeling'!I403</f>
        <v>22.953330061734174</v>
      </c>
      <c r="G5" s="1028">
        <f ca="1">'Metro Modeling'!J403</f>
        <v>20.883965557408494</v>
      </c>
      <c r="H5" s="1028">
        <f ca="1">'Metro Modeling'!K403</f>
        <v>18.644470554649111</v>
      </c>
      <c r="I5" s="1028">
        <f ca="1">'Metro Modeling'!L403</f>
        <v>16.367315708049997</v>
      </c>
    </row>
    <row r="6" spans="2:11">
      <c r="C6" s="1063" t="s">
        <v>741</v>
      </c>
      <c r="D6" s="1064">
        <f>'Metro Modeling'!I131</f>
        <v>-231.00000000000003</v>
      </c>
      <c r="E6" s="1064">
        <f>'Metro Modeling'!J131</f>
        <v>-234.05536000000004</v>
      </c>
      <c r="F6" s="1064">
        <f>'Metro Modeling'!K131</f>
        <v>-207</v>
      </c>
      <c r="G6" s="1064">
        <f>'Metro Modeling'!L131</f>
        <v>-207.25</v>
      </c>
      <c r="H6" s="1064">
        <f>'Metro Modeling'!M131</f>
        <v>-207.5</v>
      </c>
      <c r="I6" s="1064">
        <f>'Metro Modeling'!N131</f>
        <v>-174.29999999999998</v>
      </c>
    </row>
    <row r="7" spans="2:11">
      <c r="C7" s="1063" t="s">
        <v>743</v>
      </c>
      <c r="D7">
        <f ca="1">D4+D5*(1-TAX)+price!D6</f>
        <v>505.34208583493546</v>
      </c>
      <c r="E7" s="1028">
        <f ca="1">E4+E5*(1-TAX)+price!E6</f>
        <v>453.25448056969947</v>
      </c>
      <c r="F7" s="1028">
        <f ca="1">F4+F5*(1-TAX)+price!F6</f>
        <v>514.60730718541367</v>
      </c>
      <c r="G7" s="1028">
        <f ca="1">G4+G5*(1-TAX)+price!G6</f>
        <v>535.73064762761453</v>
      </c>
      <c r="H7" s="1028">
        <f ca="1">H4+H5*(1-TAX)+price!H6</f>
        <v>566.90571486827923</v>
      </c>
      <c r="I7" s="1028">
        <f ca="1">I4+I5*(1-TAX)+price!I6</f>
        <v>404.16588066478266</v>
      </c>
    </row>
    <row r="8" spans="2:11">
      <c r="C8" s="1063" t="s">
        <v>744</v>
      </c>
      <c r="D8">
        <f ca="1">D7/$C$16</f>
        <v>470.78636653152182</v>
      </c>
      <c r="I8">
        <f ca="1">I4/(wacc-C14)</f>
        <v>10808.283722153161</v>
      </c>
    </row>
    <row r="9" spans="2:11">
      <c r="C9" s="1063" t="s">
        <v>748</v>
      </c>
      <c r="D9">
        <f ca="1">D7/$C$16^D2</f>
        <v>470.78636653152182</v>
      </c>
      <c r="E9" s="1028">
        <f t="shared" ref="E9:H9" ca="1" si="0">E7/$C$16^E2</f>
        <v>393.38602177730468</v>
      </c>
      <c r="F9" s="1028">
        <f t="shared" ca="1" si="0"/>
        <v>416.09373408658331</v>
      </c>
      <c r="G9" s="1028">
        <f t="shared" ca="1" si="0"/>
        <v>403.55257985021069</v>
      </c>
      <c r="H9" s="1028">
        <f t="shared" ca="1" si="0"/>
        <v>397.83490130755905</v>
      </c>
      <c r="I9">
        <f ca="1">I8/C16^I2</f>
        <v>7066.2205893881255</v>
      </c>
    </row>
    <row r="10" spans="2:11">
      <c r="J10" s="1063" t="s">
        <v>744</v>
      </c>
      <c r="K10">
        <f ca="1">C11/95</f>
        <v>96.293412557276895</v>
      </c>
    </row>
    <row r="11" spans="2:11">
      <c r="C11">
        <f ca="1">SUM(D9:I9)</f>
        <v>9147.8741929413045</v>
      </c>
    </row>
    <row r="13" spans="2:11">
      <c r="B13" s="1063" t="s">
        <v>745</v>
      </c>
      <c r="C13" s="1065">
        <v>7.3400000000000007E-2</v>
      </c>
    </row>
    <row r="14" spans="2:11">
      <c r="B14" s="1063" t="s">
        <v>746</v>
      </c>
      <c r="C14">
        <f>Scenarios!I11</f>
        <v>2.1000000000000001E-2</v>
      </c>
    </row>
    <row r="16" spans="2:11">
      <c r="C16">
        <f>1+wacc</f>
        <v>1.0733999999999999</v>
      </c>
    </row>
    <row r="19" spans="3:11">
      <c r="C19" t="s">
        <v>770</v>
      </c>
      <c r="D19" s="1028">
        <v>1</v>
      </c>
      <c r="E19" s="1028">
        <v>2</v>
      </c>
      <c r="F19" s="1028">
        <v>3</v>
      </c>
      <c r="G19" s="1028">
        <v>4</v>
      </c>
      <c r="H19" s="1028">
        <v>5</v>
      </c>
      <c r="I19" s="1028">
        <v>6</v>
      </c>
    </row>
    <row r="20" spans="3:11">
      <c r="C20" s="1063" t="s">
        <v>749</v>
      </c>
      <c r="D20" s="1063" t="s">
        <v>733</v>
      </c>
      <c r="E20" s="1063" t="s">
        <v>734</v>
      </c>
      <c r="F20" s="1063" t="s">
        <v>735</v>
      </c>
      <c r="G20" s="1063" t="s">
        <v>736</v>
      </c>
      <c r="H20" s="1063" t="s">
        <v>737</v>
      </c>
      <c r="I20" s="1063" t="s">
        <v>738</v>
      </c>
    </row>
    <row r="21" spans="3:11">
      <c r="D21" s="1064">
        <f ca="1">(-'Metro Modeling'!I147-'Metro Modeling'!I140)/'Metro Modeling'!I84</f>
        <v>3.1653250558294772</v>
      </c>
      <c r="E21" s="1064">
        <f ca="1">(-'Metro Modeling'!J147-'Metro Modeling'!J140)/'Metro Modeling'!J84</f>
        <v>0.98064347476140912</v>
      </c>
      <c r="F21" s="1064">
        <f ca="1">(-'Metro Modeling'!K147-'Metro Modeling'!K140)/'Metro Modeling'!K84</f>
        <v>3.2589434963907178</v>
      </c>
      <c r="G21" s="1064">
        <f ca="1">(-'Metro Modeling'!L147-'Metro Modeling'!L140)/'Metro Modeling'!L84</f>
        <v>3.3647627886052893</v>
      </c>
      <c r="H21" s="1064">
        <f ca="1">(-'Metro Modeling'!M147-'Metro Modeling'!M140)/'Metro Modeling'!M84</f>
        <v>3.5386667445333644</v>
      </c>
      <c r="I21" s="1064">
        <f ca="1">(-'Metro Modeling'!N147-'Metro Modeling'!N140)/'Metro Modeling'!N84</f>
        <v>3.9268885091278762</v>
      </c>
    </row>
    <row r="22" spans="3:11">
      <c r="C22" s="1063" t="s">
        <v>747</v>
      </c>
      <c r="D22">
        <f ca="1">D21/$C$16^D19</f>
        <v>2.9488774509311324</v>
      </c>
      <c r="E22" s="1028">
        <f t="shared" ref="E22:H22" ca="1" si="1">E21/$C$16^E19</f>
        <v>0.85111444421549676</v>
      </c>
      <c r="F22" s="1028">
        <f t="shared" ca="1" si="1"/>
        <v>2.6350694007961719</v>
      </c>
      <c r="G22" s="1028">
        <f t="shared" ca="1" si="1"/>
        <v>2.5345921685434334</v>
      </c>
      <c r="H22" s="1028">
        <f t="shared" ca="1" si="1"/>
        <v>2.4833144174580712</v>
      </c>
      <c r="I22">
        <f ca="1">I23/C16^I19</f>
        <v>48.994546080360017</v>
      </c>
    </row>
    <row r="23" spans="3:11">
      <c r="I23">
        <f ca="1">I21/(wacc-C14)</f>
        <v>74.940620403203738</v>
      </c>
    </row>
    <row r="24" spans="3:11">
      <c r="J24" s="1063" t="s">
        <v>744</v>
      </c>
      <c r="K24">
        <f ca="1">SUM(D22:I22)</f>
        <v>60.447513962304328</v>
      </c>
    </row>
    <row r="28" spans="3:11">
      <c r="K28">
        <f ca="1">K10-K24</f>
        <v>35.845898594972567</v>
      </c>
    </row>
  </sheetData>
  <phoneticPr fontId="79" type="noConversion"/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S83"/>
  <sheetViews>
    <sheetView topLeftCell="A9" workbookViewId="0">
      <selection activeCell="F16" sqref="F16"/>
    </sheetView>
  </sheetViews>
  <sheetFormatPr baseColWidth="10" defaultRowHeight="15"/>
  <sheetData>
    <row r="1" spans="1:19">
      <c r="A1" s="965"/>
      <c r="B1" s="965"/>
      <c r="C1" s="965"/>
      <c r="D1" s="965"/>
      <c r="E1" s="965"/>
      <c r="F1" s="965"/>
      <c r="G1" s="965"/>
      <c r="H1" s="965"/>
      <c r="I1" s="965"/>
      <c r="J1" s="965"/>
      <c r="K1" s="965"/>
      <c r="L1" s="965"/>
      <c r="M1" s="965"/>
      <c r="N1" s="965"/>
      <c r="O1" s="965"/>
      <c r="P1" s="965"/>
      <c r="Q1" s="965"/>
      <c r="R1" s="965"/>
      <c r="S1" s="965"/>
    </row>
    <row r="2" spans="1:19">
      <c r="A2" s="957"/>
      <c r="B2" s="957"/>
      <c r="C2" s="957"/>
      <c r="D2" s="957"/>
      <c r="E2" s="957"/>
      <c r="F2" s="957"/>
      <c r="G2" s="957"/>
      <c r="H2" s="957"/>
      <c r="I2" s="957"/>
      <c r="J2" s="1066"/>
      <c r="K2" s="1067" t="str">
        <f>[7]Model!I1</f>
        <v>CURRENTLY RUNNING: BASE CASE SALES &amp; STORE EXPANSION</v>
      </c>
      <c r="L2" s="1068"/>
      <c r="M2" s="1066"/>
      <c r="N2" s="1067"/>
      <c r="O2" s="957"/>
      <c r="P2" s="1069"/>
      <c r="Q2" s="1010" t="str">
        <f>[7]Model!O1</f>
        <v xml:space="preserve"> BASE CASE COST</v>
      </c>
      <c r="R2" s="957"/>
      <c r="S2" s="957"/>
    </row>
    <row r="3" spans="1:19">
      <c r="A3" s="965"/>
      <c r="B3" s="1070"/>
      <c r="C3" s="957"/>
      <c r="D3" s="957"/>
      <c r="E3" s="957"/>
      <c r="F3" s="957"/>
      <c r="G3" s="957"/>
      <c r="H3" s="957"/>
      <c r="I3" s="957"/>
      <c r="J3" s="957"/>
      <c r="K3" s="957"/>
      <c r="L3" s="957"/>
      <c r="M3" s="957"/>
      <c r="N3" s="957"/>
      <c r="O3" s="957"/>
      <c r="P3" s="957"/>
      <c r="Q3" s="965"/>
      <c r="R3" s="965"/>
      <c r="S3" s="965"/>
    </row>
    <row r="4" spans="1:19" ht="19">
      <c r="A4" s="965"/>
      <c r="B4" s="1071"/>
      <c r="C4" s="1072" t="str">
        <f>[7]Model!D3</f>
        <v xml:space="preserve">Shoppers Drug Mart </v>
      </c>
      <c r="D4" s="1072"/>
      <c r="E4" s="1072"/>
      <c r="F4" s="1072"/>
      <c r="G4" s="1072"/>
      <c r="H4" s="1072"/>
      <c r="I4" s="1072"/>
      <c r="J4" s="1072"/>
      <c r="K4" s="1072"/>
      <c r="L4" s="1072"/>
      <c r="M4" s="1072"/>
      <c r="N4" s="1072"/>
      <c r="O4" s="1072"/>
      <c r="P4" s="1072"/>
      <c r="Q4" s="965"/>
      <c r="R4" s="965"/>
      <c r="S4" s="965"/>
    </row>
    <row r="5" spans="1:19" ht="16" thickBot="1">
      <c r="A5" s="965"/>
      <c r="B5" s="1070"/>
      <c r="C5" s="1073" t="s">
        <v>750</v>
      </c>
      <c r="D5" s="1073"/>
      <c r="E5" s="1073"/>
      <c r="F5" s="1074"/>
      <c r="G5" s="1074"/>
      <c r="H5" s="1074"/>
      <c r="I5" s="1074"/>
      <c r="J5" s="1074"/>
      <c r="K5" s="1074"/>
      <c r="L5" s="1074"/>
      <c r="M5" s="1074"/>
      <c r="N5" s="1074"/>
      <c r="O5" s="1074"/>
      <c r="P5" s="1074"/>
      <c r="Q5" s="1074"/>
      <c r="R5" s="1074"/>
      <c r="S5" s="1074"/>
    </row>
    <row r="6" spans="1:19">
      <c r="A6" s="965"/>
      <c r="B6" s="1071"/>
      <c r="C6" s="957"/>
      <c r="D6" s="957"/>
      <c r="E6" s="957"/>
      <c r="F6" s="957"/>
      <c r="G6" s="957"/>
      <c r="H6" s="957"/>
      <c r="I6" s="957"/>
      <c r="J6" s="957"/>
      <c r="K6" s="957"/>
      <c r="L6" s="957"/>
      <c r="M6" s="957"/>
      <c r="N6" s="957"/>
      <c r="O6" s="957"/>
      <c r="P6" s="957"/>
      <c r="Q6" s="957"/>
      <c r="R6" s="957"/>
      <c r="S6" s="957"/>
    </row>
    <row r="7" spans="1:19">
      <c r="A7" s="965"/>
      <c r="B7" s="1071"/>
      <c r="C7" s="1066" t="s">
        <v>751</v>
      </c>
      <c r="D7" s="1066"/>
      <c r="E7" s="1068"/>
      <c r="F7" s="957"/>
      <c r="G7" s="1075" t="s">
        <v>752</v>
      </c>
      <c r="H7" s="957"/>
      <c r="I7" s="957"/>
      <c r="J7" s="957"/>
      <c r="K7" s="957"/>
      <c r="L7" s="957"/>
      <c r="M7" s="957"/>
      <c r="N7" s="957"/>
      <c r="O7" s="957"/>
      <c r="P7" s="957"/>
      <c r="Q7" s="965"/>
      <c r="R7" s="965"/>
      <c r="S7" s="965"/>
    </row>
    <row r="8" spans="1:19">
      <c r="A8" s="965"/>
      <c r="B8" s="1071"/>
      <c r="C8" s="1076"/>
      <c r="D8" s="1076"/>
      <c r="E8" s="957"/>
      <c r="F8" s="957"/>
      <c r="G8" s="957"/>
      <c r="H8" s="957"/>
      <c r="I8" s="957"/>
      <c r="J8" s="957"/>
      <c r="K8" s="957"/>
      <c r="L8" s="957"/>
      <c r="M8" s="957"/>
      <c r="N8" s="957"/>
      <c r="O8" s="957"/>
      <c r="P8" s="957"/>
      <c r="Q8" s="965"/>
      <c r="R8" s="965"/>
      <c r="S8" s="965"/>
    </row>
    <row r="9" spans="1:19">
      <c r="A9" s="965"/>
      <c r="B9" s="1071"/>
      <c r="C9" s="1077" t="s">
        <v>753</v>
      </c>
      <c r="D9" s="1077"/>
      <c r="E9" s="1078">
        <f>[7]WACC!P61</f>
        <v>6.0150666666666665E-2</v>
      </c>
      <c r="F9" s="957"/>
      <c r="G9" s="1079">
        <v>0.01</v>
      </c>
      <c r="H9" s="957"/>
      <c r="I9" s="957"/>
      <c r="J9" s="957"/>
      <c r="K9" s="957"/>
      <c r="L9" s="957"/>
      <c r="M9" s="957"/>
      <c r="N9" s="957"/>
      <c r="O9" s="957"/>
      <c r="P9" s="957"/>
      <c r="Q9" s="965"/>
      <c r="R9" s="965"/>
      <c r="S9" s="965"/>
    </row>
    <row r="10" spans="1:19">
      <c r="A10" s="965"/>
      <c r="B10" s="1071"/>
      <c r="C10" s="1077" t="s">
        <v>754</v>
      </c>
      <c r="D10" s="1077"/>
      <c r="E10" s="1078">
        <f>[7]WACC!P68</f>
        <v>7.8610124244463314E-2</v>
      </c>
      <c r="F10" s="957"/>
      <c r="G10" s="957"/>
      <c r="H10" s="957"/>
      <c r="I10" s="957"/>
      <c r="J10" s="957"/>
      <c r="K10" s="965"/>
      <c r="L10" s="965"/>
      <c r="M10" s="965"/>
      <c r="N10" s="965"/>
      <c r="O10" s="965"/>
      <c r="P10" s="965"/>
      <c r="Q10" s="965"/>
      <c r="R10" s="965"/>
      <c r="S10" s="965"/>
    </row>
    <row r="11" spans="1:19">
      <c r="A11" s="965"/>
      <c r="B11" s="1071"/>
      <c r="C11" s="1077"/>
      <c r="D11" s="1077"/>
      <c r="E11" s="1080"/>
      <c r="F11" s="957"/>
      <c r="G11" s="957"/>
      <c r="H11" s="957"/>
      <c r="I11" s="957"/>
      <c r="J11" s="957"/>
      <c r="K11" s="975"/>
      <c r="L11" s="975"/>
      <c r="M11" s="975"/>
      <c r="N11" s="975"/>
      <c r="O11" s="975"/>
      <c r="P11" s="1081"/>
      <c r="Q11" s="965"/>
      <c r="R11" s="965"/>
      <c r="S11" s="965"/>
    </row>
    <row r="12" spans="1:19">
      <c r="A12" s="965"/>
      <c r="B12" s="1071"/>
      <c r="C12" s="1077"/>
      <c r="D12" s="1077"/>
      <c r="E12" s="1080"/>
      <c r="F12" s="957"/>
      <c r="G12" s="957"/>
      <c r="H12" s="957"/>
      <c r="I12" s="957"/>
      <c r="J12" s="957"/>
      <c r="K12" s="975" t="s">
        <v>755</v>
      </c>
      <c r="L12" s="1082"/>
      <c r="M12" s="1082"/>
      <c r="N12" s="1082"/>
      <c r="O12" s="1082"/>
      <c r="P12" s="1081"/>
      <c r="Q12" s="1081"/>
      <c r="R12" s="965"/>
      <c r="S12" s="965"/>
    </row>
    <row r="13" spans="1:19">
      <c r="A13" s="965"/>
      <c r="B13" s="1071"/>
      <c r="C13" s="957"/>
      <c r="D13" s="957"/>
      <c r="E13" s="957"/>
      <c r="F13" s="957"/>
      <c r="G13" s="957"/>
      <c r="H13" s="957"/>
      <c r="I13" s="957"/>
      <c r="J13" s="957"/>
      <c r="K13" s="965"/>
      <c r="L13" s="1046"/>
      <c r="M13" s="1046"/>
      <c r="N13" s="1046"/>
      <c r="O13" s="1046"/>
      <c r="P13" s="1046"/>
      <c r="Q13" s="1046"/>
      <c r="R13" s="965"/>
      <c r="S13" s="965"/>
    </row>
    <row r="14" spans="1:19">
      <c r="A14" s="965"/>
      <c r="B14" s="1071"/>
      <c r="C14" s="957"/>
      <c r="D14" s="957"/>
      <c r="E14" s="957"/>
      <c r="F14" s="983">
        <v>2006</v>
      </c>
      <c r="G14" s="983">
        <v>2007</v>
      </c>
      <c r="H14" s="983">
        <v>2008</v>
      </c>
      <c r="I14" s="983">
        <v>2009</v>
      </c>
      <c r="J14" s="983">
        <v>2010</v>
      </c>
      <c r="K14" s="983">
        <v>2011</v>
      </c>
      <c r="L14" s="1083">
        <f>K14+1</f>
        <v>2012</v>
      </c>
      <c r="M14" s="1083">
        <f>L14+1</f>
        <v>2013</v>
      </c>
      <c r="N14" s="1083">
        <f>M14+1</f>
        <v>2014</v>
      </c>
      <c r="O14" s="1083">
        <f>N14+1</f>
        <v>2015</v>
      </c>
      <c r="P14" s="1083">
        <f>O14+1</f>
        <v>2016</v>
      </c>
      <c r="Q14" s="1083" t="s">
        <v>276</v>
      </c>
      <c r="R14" s="965"/>
      <c r="S14" s="965"/>
    </row>
    <row r="15" spans="1:19">
      <c r="A15" s="965"/>
      <c r="B15" s="1071"/>
      <c r="C15" s="1071"/>
      <c r="D15" s="1071"/>
      <c r="E15" s="1071"/>
      <c r="F15" s="1084"/>
      <c r="G15" s="1085"/>
      <c r="H15" s="965"/>
      <c r="I15" s="965"/>
      <c r="J15" s="965"/>
      <c r="K15" s="965"/>
      <c r="L15" s="965"/>
      <c r="M15" s="965"/>
      <c r="N15" s="965"/>
      <c r="O15" s="965"/>
      <c r="P15" s="965"/>
      <c r="Q15" s="965"/>
      <c r="R15" s="965"/>
      <c r="S15" s="965"/>
    </row>
    <row r="16" spans="1:19">
      <c r="A16" s="965"/>
      <c r="B16" s="1071"/>
      <c r="C16" s="1071" t="s">
        <v>756</v>
      </c>
      <c r="D16" s="1071"/>
      <c r="E16" s="1086" t="s">
        <v>307</v>
      </c>
      <c r="F16" s="1087">
        <f>[7]Model!F76</f>
        <v>1.9532345971563982</v>
      </c>
      <c r="G16" s="1087">
        <f>[7]Model!G76</f>
        <v>2.2654048582995951</v>
      </c>
      <c r="H16" s="1087">
        <f>[7]Model!H76</f>
        <v>2.6344827586206896</v>
      </c>
      <c r="I16" s="1087">
        <f>[7]Model!I76</f>
        <v>2.6947126436781628</v>
      </c>
      <c r="J16" s="1087">
        <f>[7]Model!J76</f>
        <v>2.7194666666666683</v>
      </c>
      <c r="K16" s="1087">
        <f>[7]Model!K76</f>
        <v>2.8372088724584135</v>
      </c>
      <c r="L16" s="1087">
        <f>[7]Model!L76</f>
        <v>3.0894510516253026</v>
      </c>
      <c r="M16" s="1087">
        <f>[7]Model!M76</f>
        <v>3.1956760000115878</v>
      </c>
      <c r="N16" s="1087">
        <f>[7]Model!N76</f>
        <v>3.267053207873547</v>
      </c>
      <c r="O16" s="1087">
        <f>[7]Model!O76</f>
        <v>3.2971634535276624</v>
      </c>
      <c r="P16" s="1087">
        <f>[7]Model!P76</f>
        <v>3.3124363367507361</v>
      </c>
      <c r="Q16" s="1087">
        <f>[7]Model!Q76</f>
        <v>4.0193021525484252</v>
      </c>
      <c r="R16" s="965"/>
      <c r="S16" s="965"/>
    </row>
    <row r="17" spans="1:19">
      <c r="A17" s="965"/>
      <c r="B17" s="1071"/>
      <c r="C17" s="1071" t="s">
        <v>757</v>
      </c>
      <c r="D17" s="1071"/>
      <c r="E17" s="1086" t="s">
        <v>307</v>
      </c>
      <c r="F17" s="1088">
        <f>[7]Model!F77</f>
        <v>0.48</v>
      </c>
      <c r="G17" s="1088">
        <f>[7]Model!G77</f>
        <v>0.64</v>
      </c>
      <c r="H17" s="1088">
        <f>[7]Model!H77</f>
        <v>0.86</v>
      </c>
      <c r="I17" s="1088">
        <f>[7]Model!I77</f>
        <v>0.86</v>
      </c>
      <c r="J17" s="1088">
        <f>[7]Model!J77</f>
        <v>0.86</v>
      </c>
      <c r="K17" s="1088">
        <f>[7]Model!K77</f>
        <v>0.97499999999999998</v>
      </c>
      <c r="L17" s="1088">
        <f>[7]Model!L77</f>
        <v>1.06</v>
      </c>
      <c r="M17" s="1088">
        <f>[7]Model!M77</f>
        <v>1.06</v>
      </c>
      <c r="N17" s="1088">
        <f>[7]Model!N77</f>
        <v>1.06</v>
      </c>
      <c r="O17" s="1088">
        <f>[7]Model!O77</f>
        <v>1.06</v>
      </c>
      <c r="P17" s="1088">
        <f>[7]Model!P77</f>
        <v>1.06</v>
      </c>
      <c r="Q17" s="1088">
        <f>[7]Model!Q77</f>
        <v>1.06</v>
      </c>
      <c r="R17" s="965"/>
      <c r="S17" s="965"/>
    </row>
    <row r="18" spans="1:19">
      <c r="A18" s="965"/>
      <c r="B18" s="1070"/>
      <c r="C18" s="1071" t="s">
        <v>758</v>
      </c>
      <c r="D18" s="1071"/>
      <c r="E18" s="1086" t="s">
        <v>759</v>
      </c>
      <c r="F18" s="1089">
        <f>F17/F16</f>
        <v>0.24574621026004984</v>
      </c>
      <c r="G18" s="1089">
        <f>G17/G16</f>
        <v>0.28251020900537033</v>
      </c>
      <c r="H18" s="1089">
        <f>H17/H16</f>
        <v>0.32643979057591621</v>
      </c>
      <c r="I18" s="1089">
        <f>I17/I16</f>
        <v>0.31914349087186467</v>
      </c>
      <c r="J18" s="1089">
        <f>J17/J16</f>
        <v>0.31623847813296707</v>
      </c>
      <c r="K18" s="1089">
        <f t="shared" ref="K18:P18" si="0">K17/K16</f>
        <v>0.34364759304984555</v>
      </c>
      <c r="L18" s="1089">
        <f t="shared" si="0"/>
        <v>0.34310302454617425</v>
      </c>
      <c r="M18" s="1089">
        <f t="shared" si="0"/>
        <v>0.33169820720127963</v>
      </c>
      <c r="N18" s="1089">
        <f t="shared" si="0"/>
        <v>0.32445140392737304</v>
      </c>
      <c r="O18" s="1089">
        <f t="shared" si="0"/>
        <v>0.32148845968370093</v>
      </c>
      <c r="P18" s="1089">
        <f t="shared" si="0"/>
        <v>0.32000615022831941</v>
      </c>
      <c r="Q18" s="1089">
        <f>Q17/Q16</f>
        <v>0.26372737350137027</v>
      </c>
      <c r="R18" s="965"/>
      <c r="S18" s="965"/>
    </row>
    <row r="19" spans="1:19">
      <c r="A19" s="965"/>
      <c r="B19" s="1070"/>
      <c r="C19" s="1071" t="s">
        <v>760</v>
      </c>
      <c r="D19" s="1071"/>
      <c r="E19" s="1086"/>
      <c r="F19" s="1089">
        <f>AVERAGE(F18:J18)</f>
        <v>0.29801563576923362</v>
      </c>
      <c r="G19" s="1089"/>
      <c r="H19" s="1089"/>
      <c r="I19" s="1089"/>
      <c r="J19" s="1089"/>
      <c r="K19" s="1071"/>
      <c r="L19" s="1071"/>
      <c r="M19" s="965"/>
      <c r="N19" s="965"/>
      <c r="O19" s="965"/>
      <c r="P19" s="965"/>
      <c r="Q19" s="965"/>
      <c r="R19" s="965"/>
      <c r="S19" s="965"/>
    </row>
    <row r="20" spans="1:19">
      <c r="A20" s="965"/>
      <c r="B20" s="1071"/>
      <c r="C20" s="965"/>
      <c r="D20" s="965"/>
      <c r="E20" s="965"/>
      <c r="F20" s="965"/>
      <c r="G20" s="965"/>
      <c r="H20" s="965"/>
      <c r="I20" s="965"/>
      <c r="J20" s="965"/>
      <c r="K20" s="1071"/>
      <c r="L20" s="1071"/>
      <c r="M20" s="965"/>
      <c r="N20" s="965"/>
      <c r="O20" s="965"/>
      <c r="P20" s="965"/>
      <c r="Q20" s="965"/>
      <c r="R20" s="965"/>
      <c r="S20" s="965"/>
    </row>
    <row r="21" spans="1:19" ht="16" thickBot="1">
      <c r="A21" s="965"/>
      <c r="B21" s="1071"/>
      <c r="C21" s="1090"/>
      <c r="D21" s="1090"/>
      <c r="E21" s="1090"/>
      <c r="F21" s="1090"/>
      <c r="G21" s="1090"/>
      <c r="H21" s="1090"/>
      <c r="I21" s="1090"/>
      <c r="J21" s="1090"/>
      <c r="K21" s="1091"/>
      <c r="L21" s="1091"/>
      <c r="M21" s="1090"/>
      <c r="N21" s="1090"/>
      <c r="O21" s="1090"/>
      <c r="P21" s="1090"/>
      <c r="Q21" s="1090"/>
      <c r="R21" s="965"/>
      <c r="S21" s="965"/>
    </row>
    <row r="22" spans="1:19">
      <c r="A22" s="965"/>
      <c r="B22" s="1071"/>
      <c r="C22" s="1092" t="s">
        <v>761</v>
      </c>
      <c r="D22" s="1093"/>
      <c r="E22" s="1093"/>
      <c r="F22" s="1094"/>
      <c r="G22" s="1094"/>
      <c r="H22" s="1094"/>
      <c r="I22" s="1094"/>
      <c r="J22" s="1093"/>
      <c r="K22" s="1095"/>
      <c r="L22" s="1071"/>
      <c r="M22" s="965"/>
      <c r="N22" s="965"/>
      <c r="O22" s="965"/>
      <c r="P22" s="965"/>
      <c r="Q22" s="965"/>
      <c r="R22" s="965"/>
      <c r="S22" s="965"/>
    </row>
    <row r="23" spans="1:19" ht="16" thickBot="1">
      <c r="A23" s="965"/>
      <c r="B23" s="1071"/>
      <c r="C23" s="1096" t="s">
        <v>762</v>
      </c>
      <c r="D23" s="1097"/>
      <c r="E23" s="1097"/>
      <c r="F23" s="1098"/>
      <c r="G23" s="1099"/>
      <c r="H23" s="1100"/>
      <c r="I23" s="1100"/>
      <c r="J23" s="1097"/>
      <c r="K23" s="1101"/>
      <c r="L23" s="1071"/>
      <c r="M23" s="965"/>
      <c r="N23" s="965"/>
      <c r="O23" s="965"/>
      <c r="P23" s="965"/>
      <c r="Q23" s="965"/>
      <c r="R23" s="965"/>
      <c r="S23" s="965"/>
    </row>
    <row r="24" spans="1:19">
      <c r="A24" s="965"/>
      <c r="B24" s="965"/>
      <c r="C24" s="965"/>
      <c r="D24" s="965"/>
      <c r="E24" s="965"/>
      <c r="F24" s="1102"/>
      <c r="G24" s="1103"/>
      <c r="H24" s="1104"/>
      <c r="I24" s="1105"/>
      <c r="J24" s="1071"/>
      <c r="K24" s="1071"/>
      <c r="L24" s="1071"/>
      <c r="M24" s="965"/>
      <c r="N24" s="965"/>
      <c r="O24" s="965"/>
      <c r="P24" s="965"/>
      <c r="Q24" s="965"/>
      <c r="R24" s="965"/>
      <c r="S24" s="965"/>
    </row>
    <row r="25" spans="1:19">
      <c r="A25" s="965"/>
      <c r="B25" s="965"/>
      <c r="C25" s="1106" t="s">
        <v>757</v>
      </c>
      <c r="D25" s="1107"/>
      <c r="E25" s="1108"/>
      <c r="F25" s="1109">
        <f t="shared" ref="F25:L25" si="1">F17</f>
        <v>0.48</v>
      </c>
      <c r="G25" s="1109">
        <f t="shared" si="1"/>
        <v>0.64</v>
      </c>
      <c r="H25" s="1109">
        <f t="shared" si="1"/>
        <v>0.86</v>
      </c>
      <c r="I25" s="1109">
        <f t="shared" si="1"/>
        <v>0.86</v>
      </c>
      <c r="J25" s="1109">
        <f t="shared" si="1"/>
        <v>0.86</v>
      </c>
      <c r="K25" s="1109">
        <f t="shared" si="1"/>
        <v>0.97499999999999998</v>
      </c>
      <c r="L25" s="1109">
        <f t="shared" si="1"/>
        <v>1.06</v>
      </c>
      <c r="M25" s="1110">
        <f>L25</f>
        <v>1.06</v>
      </c>
      <c r="N25" s="1110">
        <f>M25</f>
        <v>1.06</v>
      </c>
      <c r="O25" s="1110">
        <f>N25</f>
        <v>1.06</v>
      </c>
      <c r="P25" s="1110">
        <f>O25</f>
        <v>1.06</v>
      </c>
      <c r="Q25" s="1111">
        <f>P25</f>
        <v>1.06</v>
      </c>
      <c r="R25" s="965"/>
      <c r="S25" s="965"/>
    </row>
    <row r="26" spans="1:19">
      <c r="A26" s="965"/>
      <c r="B26" s="965"/>
      <c r="C26" s="1112"/>
      <c r="D26" s="1112"/>
      <c r="E26" s="965"/>
      <c r="F26" s="1113"/>
      <c r="G26" s="1113"/>
      <c r="H26" s="1113"/>
      <c r="I26" s="1113"/>
      <c r="J26" s="1113"/>
      <c r="K26" s="1087"/>
      <c r="L26" s="1087"/>
      <c r="M26" s="1087"/>
      <c r="N26" s="1087"/>
      <c r="O26" s="1087"/>
      <c r="P26" s="1087"/>
      <c r="Q26" s="965"/>
      <c r="R26" s="965"/>
      <c r="S26" s="965"/>
    </row>
    <row r="27" spans="1:19">
      <c r="A27" s="965"/>
      <c r="B27" s="1071"/>
      <c r="C27" s="1086"/>
      <c r="D27" s="1114"/>
      <c r="E27" s="1071"/>
      <c r="F27" s="965"/>
      <c r="G27" s="965"/>
      <c r="H27" s="965"/>
      <c r="I27" s="965"/>
      <c r="J27" s="965"/>
      <c r="K27" s="965"/>
      <c r="L27" s="965"/>
      <c r="M27" s="965"/>
      <c r="N27" s="965"/>
      <c r="O27" s="965"/>
      <c r="P27" s="965"/>
      <c r="Q27" s="965"/>
      <c r="R27" s="965"/>
      <c r="S27" s="965"/>
    </row>
    <row r="28" spans="1:19">
      <c r="A28" s="965"/>
      <c r="B28" s="1071"/>
      <c r="C28" s="1086" t="s">
        <v>307</v>
      </c>
      <c r="D28" s="1071"/>
      <c r="E28" s="1071"/>
      <c r="F28" s="965"/>
      <c r="G28" s="965"/>
      <c r="H28" s="965"/>
      <c r="I28" s="1115" t="s">
        <v>763</v>
      </c>
      <c r="J28" s="1116"/>
      <c r="K28" s="1116"/>
      <c r="L28" s="1116"/>
      <c r="M28" s="1116"/>
      <c r="N28" s="1116"/>
      <c r="O28" s="1116"/>
      <c r="P28" s="1116"/>
      <c r="Q28" s="1116"/>
      <c r="R28" s="1116"/>
      <c r="S28" s="1116"/>
    </row>
    <row r="29" spans="1:19">
      <c r="A29" s="965"/>
      <c r="B29" s="1071"/>
      <c r="C29" s="1086"/>
      <c r="D29" s="1071"/>
      <c r="E29" s="1071"/>
      <c r="F29" s="965"/>
      <c r="G29" s="1071"/>
      <c r="H29" s="965"/>
      <c r="I29" s="1117">
        <f>G9</f>
        <v>0.01</v>
      </c>
      <c r="J29" s="1118"/>
      <c r="K29" s="1118"/>
      <c r="L29" s="1118">
        <f>I29+0.005</f>
        <v>1.4999999999999999E-2</v>
      </c>
      <c r="M29" s="1118"/>
      <c r="N29" s="1118"/>
      <c r="O29" s="1118">
        <f>L29+0.005</f>
        <v>0.02</v>
      </c>
      <c r="P29" s="1118"/>
      <c r="Q29" s="1118"/>
      <c r="R29" s="1118">
        <f>O29+0.005</f>
        <v>2.5000000000000001E-2</v>
      </c>
      <c r="S29" s="1119"/>
    </row>
    <row r="30" spans="1:19">
      <c r="A30" s="965"/>
      <c r="B30" s="1071"/>
      <c r="C30" s="1071"/>
      <c r="D30" s="1071"/>
      <c r="E30" s="1071"/>
      <c r="F30" s="965"/>
      <c r="G30" s="1071"/>
      <c r="H30" s="965"/>
      <c r="I30" s="1071"/>
      <c r="J30" s="1104"/>
      <c r="K30" s="1071"/>
      <c r="L30" s="1071"/>
      <c r="M30" s="1071"/>
      <c r="N30" s="965"/>
      <c r="O30" s="965"/>
      <c r="P30" s="965"/>
      <c r="Q30" s="965"/>
      <c r="R30" s="965"/>
      <c r="S30" s="965"/>
    </row>
    <row r="31" spans="1:19">
      <c r="A31" s="965"/>
      <c r="B31" s="1112"/>
      <c r="C31" s="1120">
        <f>E9</f>
        <v>6.0150666666666665E-2</v>
      </c>
      <c r="D31" s="1121"/>
      <c r="E31" s="1112"/>
      <c r="F31" s="1122" t="s">
        <v>764</v>
      </c>
      <c r="G31" s="1112"/>
      <c r="H31" s="965"/>
      <c r="I31" s="1123">
        <f>NPV($C31,$L$25:$P$25)*(1+$C31)^0.75</f>
        <v>4.6631506233497246</v>
      </c>
      <c r="J31" s="1124"/>
      <c r="K31" s="1087"/>
      <c r="L31" s="1123">
        <f>NPV($C31,$L$25:$P$25)*(1+$C31)^0.75</f>
        <v>4.6631506233497246</v>
      </c>
      <c r="M31" s="1087"/>
      <c r="N31" s="1113"/>
      <c r="O31" s="1123">
        <f>NPV($C31,$L$25:$P$25)*(1+$C31)^0.75</f>
        <v>4.6631506233497246</v>
      </c>
      <c r="P31" s="1113"/>
      <c r="Q31" s="1113"/>
      <c r="R31" s="1123">
        <f>NPV($C31,$L$25:$P$25)*(1+$C31)^0.75</f>
        <v>4.6631506233497246</v>
      </c>
      <c r="S31" s="965"/>
    </row>
    <row r="32" spans="1:19">
      <c r="A32" s="965"/>
      <c r="B32" s="1071"/>
      <c r="C32" s="1125"/>
      <c r="D32" s="1125"/>
      <c r="E32" s="1071"/>
      <c r="F32" s="1122" t="s">
        <v>765</v>
      </c>
      <c r="G32" s="1071"/>
      <c r="H32" s="1071"/>
      <c r="I32" s="1123">
        <f>($Q$25/($C31-I$29))/(1+$C31)^4.25</f>
        <v>16.489857166098815</v>
      </c>
      <c r="J32" s="1071"/>
      <c r="K32" s="1071"/>
      <c r="L32" s="1123">
        <f>($Q$25/($C31-L$29))/(1+$C31)^4.25</f>
        <v>18.315949490254102</v>
      </c>
      <c r="M32" s="965"/>
      <c r="N32" s="965"/>
      <c r="O32" s="1123">
        <f>($Q$25/($C31-O$29))/(1+$C31)^4.25</f>
        <v>20.596851777918992</v>
      </c>
      <c r="P32" s="965"/>
      <c r="Q32" s="965"/>
      <c r="R32" s="1123">
        <f>($Q$25/($C31-R$29))/(1+$C31)^4.25</f>
        <v>23.526647103458433</v>
      </c>
      <c r="S32" s="965"/>
    </row>
    <row r="33" spans="1:19">
      <c r="A33" s="965"/>
      <c r="B33" s="1071"/>
      <c r="C33" s="1125"/>
      <c r="D33" s="1125"/>
      <c r="E33" s="1071"/>
      <c r="F33" s="1126" t="s">
        <v>766</v>
      </c>
      <c r="G33" s="1071"/>
      <c r="H33" s="1071"/>
      <c r="I33" s="1127">
        <f>SUM(I31:I32)</f>
        <v>21.153007789448541</v>
      </c>
      <c r="J33" s="1071"/>
      <c r="K33" s="1071"/>
      <c r="L33" s="1127">
        <f>SUM(L31:L32)</f>
        <v>22.979100113603828</v>
      </c>
      <c r="M33" s="965"/>
      <c r="N33" s="965"/>
      <c r="O33" s="1127">
        <f>SUM(O31:O32)</f>
        <v>25.260002401268718</v>
      </c>
      <c r="P33" s="965"/>
      <c r="Q33" s="965"/>
      <c r="R33" s="1127">
        <f>SUM(R31:R32)</f>
        <v>28.189797726808159</v>
      </c>
      <c r="S33" s="965"/>
    </row>
    <row r="34" spans="1:19">
      <c r="A34" s="965"/>
      <c r="B34" s="1071"/>
      <c r="C34" s="1125"/>
      <c r="D34" s="1125"/>
      <c r="E34" s="1071"/>
      <c r="F34" s="1071"/>
      <c r="G34" s="1071"/>
      <c r="H34" s="1071"/>
      <c r="I34" s="1071"/>
      <c r="J34" s="1071"/>
      <c r="K34" s="1071"/>
      <c r="L34" s="1071"/>
      <c r="M34" s="965"/>
      <c r="N34" s="965"/>
      <c r="O34" s="965"/>
      <c r="P34" s="965"/>
      <c r="Q34" s="965"/>
      <c r="R34" s="965"/>
      <c r="S34" s="965"/>
    </row>
    <row r="35" spans="1:19">
      <c r="A35" s="965"/>
      <c r="B35" s="1071"/>
      <c r="C35" s="1125"/>
      <c r="D35" s="1125"/>
      <c r="E35" s="1071"/>
      <c r="F35" s="1071"/>
      <c r="G35" s="1128"/>
      <c r="H35" s="1071"/>
      <c r="I35" s="1129"/>
      <c r="J35" s="1071"/>
      <c r="K35" s="1071"/>
      <c r="L35" s="1071"/>
      <c r="M35" s="965"/>
      <c r="N35" s="965"/>
      <c r="O35" s="965"/>
      <c r="P35" s="965"/>
      <c r="Q35" s="965"/>
      <c r="R35" s="965"/>
      <c r="S35" s="965"/>
    </row>
    <row r="36" spans="1:19">
      <c r="A36" s="965"/>
      <c r="B36" s="1071"/>
      <c r="C36" s="1130">
        <f>C31+0.01</f>
        <v>7.0150666666666667E-2</v>
      </c>
      <c r="D36" s="1131"/>
      <c r="E36" s="1071"/>
      <c r="F36" s="1122" t="s">
        <v>764</v>
      </c>
      <c r="G36" s="1071"/>
      <c r="H36" s="1071"/>
      <c r="I36" s="1123">
        <f>NPV($C36,$L$25:$P$25)*(1+$C36)^0.75</f>
        <v>4.5710834551650734</v>
      </c>
      <c r="J36" s="1071"/>
      <c r="K36" s="1071"/>
      <c r="L36" s="1123">
        <f>NPV($C36,$L$25:$P$25)*(1+$C36)^0.75</f>
        <v>4.5710834551650734</v>
      </c>
      <c r="M36" s="965"/>
      <c r="N36" s="965"/>
      <c r="O36" s="1123">
        <f>NPV($C36,$L$25:$P$25)*(1+$C36)^0.75</f>
        <v>4.5710834551650734</v>
      </c>
      <c r="P36" s="965"/>
      <c r="Q36" s="965"/>
      <c r="R36" s="1123">
        <f>NPV($C36,$L$25:$P$25)*(1+$C36)^0.75</f>
        <v>4.5710834551650734</v>
      </c>
      <c r="S36" s="965"/>
    </row>
    <row r="37" spans="1:19">
      <c r="A37" s="965"/>
      <c r="B37" s="1071"/>
      <c r="C37" s="1125"/>
      <c r="D37" s="1125"/>
      <c r="E37" s="1071"/>
      <c r="F37" s="1122" t="s">
        <v>765</v>
      </c>
      <c r="G37" s="1071"/>
      <c r="H37" s="1071"/>
      <c r="I37" s="1123">
        <f>($Q$25/($C36-I$29))/(1+$C36)^4.25</f>
        <v>13.210659017869951</v>
      </c>
      <c r="J37" s="1071"/>
      <c r="K37" s="1071"/>
      <c r="L37" s="1123">
        <f>($Q$25/($C36-L$29))/(1+$C36)^4.25</f>
        <v>14.408347080075599</v>
      </c>
      <c r="M37" s="965"/>
      <c r="N37" s="965"/>
      <c r="O37" s="1123">
        <f>($Q$25/($C36-O$29))/(1+$C36)^4.25</f>
        <v>15.844853116559888</v>
      </c>
      <c r="P37" s="965"/>
      <c r="Q37" s="965"/>
      <c r="R37" s="1123">
        <f>($Q$25/($C36-R$29))/(1+$C36)^4.25</f>
        <v>17.59951747550917</v>
      </c>
      <c r="S37" s="965"/>
    </row>
    <row r="38" spans="1:19">
      <c r="A38" s="965"/>
      <c r="B38" s="1071"/>
      <c r="C38" s="1125"/>
      <c r="D38" s="1125"/>
      <c r="E38" s="1071"/>
      <c r="F38" s="1126" t="s">
        <v>766</v>
      </c>
      <c r="G38" s="1071"/>
      <c r="H38" s="1071"/>
      <c r="I38" s="1127">
        <f>SUM(I36:I37)</f>
        <v>17.781742473035024</v>
      </c>
      <c r="J38" s="1071"/>
      <c r="K38" s="1071"/>
      <c r="L38" s="1127">
        <f>SUM(L36:L37)</f>
        <v>18.979430535240674</v>
      </c>
      <c r="M38" s="965"/>
      <c r="N38" s="965"/>
      <c r="O38" s="1127">
        <f>SUM(O36:O37)</f>
        <v>20.415936571724963</v>
      </c>
      <c r="P38" s="965"/>
      <c r="Q38" s="965"/>
      <c r="R38" s="1127">
        <f>SUM(R36:R37)</f>
        <v>22.170600930674244</v>
      </c>
      <c r="S38" s="965"/>
    </row>
    <row r="39" spans="1:19">
      <c r="A39" s="1132"/>
      <c r="B39" s="1133"/>
      <c r="C39" s="1134"/>
      <c r="D39" s="1134"/>
      <c r="E39" s="1133"/>
      <c r="F39" s="1133"/>
      <c r="G39" s="1135"/>
      <c r="H39" s="1133"/>
      <c r="I39" s="1136"/>
      <c r="J39" s="1133"/>
      <c r="K39" s="1133"/>
      <c r="L39" s="1133"/>
      <c r="M39" s="1132"/>
      <c r="N39" s="1132"/>
      <c r="O39" s="1132"/>
      <c r="P39" s="1132"/>
      <c r="Q39" s="1132"/>
      <c r="R39" s="1132"/>
      <c r="S39" s="1132"/>
    </row>
    <row r="40" spans="1:19">
      <c r="A40" s="1132"/>
      <c r="B40" s="1137"/>
      <c r="C40" s="1134"/>
      <c r="D40" s="1134"/>
      <c r="E40" s="1133"/>
      <c r="F40" s="1133"/>
      <c r="G40" s="1133"/>
      <c r="H40" s="1133"/>
      <c r="I40" s="1133"/>
      <c r="J40" s="1133"/>
      <c r="K40" s="1133"/>
      <c r="L40" s="1133"/>
      <c r="M40" s="1132"/>
      <c r="N40" s="1132"/>
      <c r="O40" s="1132"/>
      <c r="P40" s="1132"/>
      <c r="Q40" s="1132"/>
      <c r="R40" s="1132"/>
      <c r="S40" s="1132"/>
    </row>
    <row r="41" spans="1:19">
      <c r="A41" s="1132"/>
      <c r="B41" s="1133"/>
      <c r="C41" s="1138">
        <f>C36+0.011</f>
        <v>8.1150666666666663E-2</v>
      </c>
      <c r="D41" s="1139"/>
      <c r="E41" s="1133"/>
      <c r="F41" s="1140" t="s">
        <v>764</v>
      </c>
      <c r="G41" s="1133"/>
      <c r="H41" s="1133"/>
      <c r="I41" s="1141">
        <f>NPV($C41,$L$25:$P$25)*(1+$C41)^0.75</f>
        <v>4.4737570668215945</v>
      </c>
      <c r="J41" s="1133"/>
      <c r="K41" s="1133"/>
      <c r="L41" s="1141">
        <f>NPV($C41,$L$25:$P$25)*(1+$C41)^0.75</f>
        <v>4.4737570668215945</v>
      </c>
      <c r="M41" s="1132"/>
      <c r="N41" s="1132"/>
      <c r="O41" s="1141">
        <f>NPV($C41,$L$25:$P$25)*(1+$C41)^0.75</f>
        <v>4.4737570668215945</v>
      </c>
      <c r="P41" s="1132"/>
      <c r="Q41" s="1132"/>
      <c r="R41" s="1141">
        <f>NPV($C41,$L$25:$P$25)*(1+$C41)^0.75</f>
        <v>4.4737570668215945</v>
      </c>
      <c r="S41" s="1132"/>
    </row>
    <row r="42" spans="1:19">
      <c r="A42" s="1132"/>
      <c r="B42" s="1142"/>
      <c r="C42" s="1134"/>
      <c r="D42" s="1134"/>
      <c r="E42" s="1133"/>
      <c r="F42" s="1140" t="s">
        <v>765</v>
      </c>
      <c r="G42" s="1133"/>
      <c r="H42" s="1133"/>
      <c r="I42" s="1141">
        <f>($Q$25/($C41-I$29))/(1+$C41)^4.25</f>
        <v>10.69326807887866</v>
      </c>
      <c r="J42" s="1133"/>
      <c r="K42" s="1133"/>
      <c r="L42" s="1141">
        <f>($Q$25/($C41-L$29))/(1+$C41)^4.25</f>
        <v>11.501519047290065</v>
      </c>
      <c r="M42" s="1132"/>
      <c r="N42" s="1132"/>
      <c r="O42" s="1141">
        <f>($Q$25/($C41-O$29))/(1+$C41)^4.25</f>
        <v>12.441943712648584</v>
      </c>
      <c r="P42" s="1132"/>
      <c r="Q42" s="1132"/>
      <c r="R42" s="1141">
        <f>($Q$25/($C41-R$29))/(1+$C41)^4.25</f>
        <v>13.549850746638851</v>
      </c>
      <c r="S42" s="1132"/>
    </row>
    <row r="43" spans="1:19">
      <c r="A43" s="1132"/>
      <c r="B43" s="1133"/>
      <c r="C43" s="1134"/>
      <c r="D43" s="1134"/>
      <c r="E43" s="1133"/>
      <c r="F43" s="1143" t="s">
        <v>766</v>
      </c>
      <c r="G43" s="1133"/>
      <c r="H43" s="1133"/>
      <c r="I43" s="1144">
        <f>SUM(I41:I42)</f>
        <v>15.167025145700254</v>
      </c>
      <c r="J43" s="1133"/>
      <c r="K43" s="1133"/>
      <c r="L43" s="1144">
        <f>SUM(L41:L42)</f>
        <v>15.97527611411166</v>
      </c>
      <c r="M43" s="1132"/>
      <c r="N43" s="1132"/>
      <c r="O43" s="1144">
        <f>SUM(O41:O42)</f>
        <v>16.915700779470178</v>
      </c>
      <c r="P43" s="1132"/>
      <c r="Q43" s="1132"/>
      <c r="R43" s="1144">
        <f>SUM(R41:R42)</f>
        <v>18.023607813460444</v>
      </c>
      <c r="S43" s="1132"/>
    </row>
    <row r="44" spans="1:19">
      <c r="A44" s="1132"/>
      <c r="B44" s="1145"/>
      <c r="C44" s="1134"/>
      <c r="D44" s="1134"/>
      <c r="E44" s="1133"/>
      <c r="F44" s="1133"/>
      <c r="G44" s="1133"/>
      <c r="H44" s="1133"/>
      <c r="I44" s="1133"/>
      <c r="J44" s="1133"/>
      <c r="K44" s="1133"/>
      <c r="L44" s="1133"/>
      <c r="M44" s="1132"/>
      <c r="N44" s="1132"/>
      <c r="O44" s="1132"/>
      <c r="P44" s="1132"/>
      <c r="Q44" s="1132"/>
      <c r="R44" s="1132"/>
      <c r="S44" s="1132"/>
    </row>
    <row r="45" spans="1:19">
      <c r="A45" s="965"/>
      <c r="B45" s="1071"/>
      <c r="C45" s="1125"/>
      <c r="D45" s="1125"/>
      <c r="E45" s="1071"/>
      <c r="F45" s="1071"/>
      <c r="G45" s="1071"/>
      <c r="H45" s="1071"/>
      <c r="I45" s="1071"/>
      <c r="J45" s="1071"/>
      <c r="K45" s="1071"/>
      <c r="L45" s="1071"/>
      <c r="M45" s="965"/>
      <c r="N45" s="965"/>
      <c r="O45" s="965"/>
      <c r="P45" s="965"/>
      <c r="Q45" s="965"/>
      <c r="R45" s="965"/>
      <c r="S45" s="965"/>
    </row>
    <row r="46" spans="1:19">
      <c r="A46" s="965"/>
      <c r="B46" s="1071"/>
      <c r="C46" s="1130">
        <f>C41+0.01</f>
        <v>9.1150666666666658E-2</v>
      </c>
      <c r="D46" s="1131"/>
      <c r="E46" s="1071"/>
      <c r="F46" s="1122" t="s">
        <v>764</v>
      </c>
      <c r="G46" s="1071"/>
      <c r="H46" s="1071"/>
      <c r="I46" s="1123">
        <f>NPV($C46,$L$25:$P$25)*(1+$C46)^0.75</f>
        <v>4.3886869406264646</v>
      </c>
      <c r="J46" s="1071"/>
      <c r="K46" s="1071"/>
      <c r="L46" s="1123">
        <f>NPV($C46,$L$25:$P$25)*(1+$C46)^0.75</f>
        <v>4.3886869406264646</v>
      </c>
      <c r="M46" s="965"/>
      <c r="N46" s="965"/>
      <c r="O46" s="1123">
        <f>NPV($C46,$L$25:$P$25)*(1+$C46)^0.75</f>
        <v>4.3886869406264646</v>
      </c>
      <c r="P46" s="965"/>
      <c r="Q46" s="965"/>
      <c r="R46" s="1123">
        <f>NPV($C46,$L$25:$P$25)*(1+$C46)^0.75</f>
        <v>4.3886869406264646</v>
      </c>
      <c r="S46" s="965"/>
    </row>
    <row r="47" spans="1:19">
      <c r="A47" s="965"/>
      <c r="B47" s="1071"/>
      <c r="C47" s="1071"/>
      <c r="D47" s="1071"/>
      <c r="E47" s="1071"/>
      <c r="F47" s="1122" t="s">
        <v>765</v>
      </c>
      <c r="G47" s="1071"/>
      <c r="H47" s="1071"/>
      <c r="I47" s="1123">
        <f>($Q$25/($C46-I$29))/(1+$C46)^4.25</f>
        <v>9.0157882553910085</v>
      </c>
      <c r="J47" s="1071"/>
      <c r="K47" s="1071"/>
      <c r="L47" s="1123">
        <f>($Q$25/($C46-L$29))/(1+$C46)^4.25</f>
        <v>9.6077586641896424</v>
      </c>
      <c r="M47" s="965"/>
      <c r="N47" s="965"/>
      <c r="O47" s="1123">
        <f>($Q$25/($C46-O$29))/(1+$C46)^4.25</f>
        <v>10.282928631970899</v>
      </c>
      <c r="P47" s="965"/>
      <c r="Q47" s="965"/>
      <c r="R47" s="1123">
        <f>($Q$25/($C46-R$29))/(1+$C46)^4.25</f>
        <v>11.060164081750006</v>
      </c>
      <c r="S47" s="965"/>
    </row>
    <row r="48" spans="1:19">
      <c r="A48" s="965"/>
      <c r="B48" s="1071"/>
      <c r="C48" s="1071"/>
      <c r="D48" s="1071"/>
      <c r="E48" s="1071"/>
      <c r="F48" s="1126" t="s">
        <v>766</v>
      </c>
      <c r="G48" s="1071"/>
      <c r="H48" s="1071"/>
      <c r="I48" s="1127">
        <f>SUM(I46:I47)</f>
        <v>13.404475196017472</v>
      </c>
      <c r="J48" s="1071"/>
      <c r="K48" s="1071"/>
      <c r="L48" s="1127">
        <f>SUM(L46:L47)</f>
        <v>13.996445604816106</v>
      </c>
      <c r="M48" s="965"/>
      <c r="N48" s="965"/>
      <c r="O48" s="1127">
        <f>SUM(O46:O47)</f>
        <v>14.671615572597364</v>
      </c>
      <c r="P48" s="965"/>
      <c r="Q48" s="965"/>
      <c r="R48" s="1127">
        <f>SUM(R46:R47)</f>
        <v>15.44885102237647</v>
      </c>
      <c r="S48" s="965"/>
    </row>
    <row r="49" spans="1:19">
      <c r="A49" s="965"/>
      <c r="B49" s="1071"/>
      <c r="C49" s="1071"/>
      <c r="D49" s="1071"/>
      <c r="E49" s="1071"/>
      <c r="F49" s="1071"/>
      <c r="G49" s="1071"/>
      <c r="H49" s="1071"/>
      <c r="I49" s="1071"/>
      <c r="J49" s="1071"/>
      <c r="K49" s="1071"/>
      <c r="L49" s="1071"/>
      <c r="M49" s="965"/>
      <c r="N49" s="965"/>
      <c r="O49" s="965"/>
      <c r="P49" s="965"/>
      <c r="Q49" s="965"/>
      <c r="R49" s="965"/>
      <c r="S49" s="965"/>
    </row>
    <row r="50" spans="1:19">
      <c r="A50" s="965"/>
      <c r="B50" s="1112"/>
      <c r="C50" s="1112"/>
      <c r="D50" s="1112"/>
      <c r="E50" s="1112"/>
      <c r="F50" s="1071"/>
      <c r="G50" s="1071"/>
      <c r="H50" s="1071"/>
      <c r="I50" s="1071"/>
      <c r="J50" s="1071"/>
      <c r="K50" s="1071"/>
      <c r="L50" s="1071"/>
      <c r="M50" s="965"/>
      <c r="N50" s="965"/>
      <c r="O50" s="965"/>
      <c r="P50" s="965"/>
      <c r="Q50" s="965"/>
      <c r="R50" s="965"/>
      <c r="S50" s="965"/>
    </row>
    <row r="51" spans="1:19">
      <c r="A51" s="965"/>
      <c r="B51" s="1071"/>
      <c r="C51" s="1071"/>
      <c r="D51" s="1071"/>
      <c r="E51" s="1071"/>
      <c r="F51" s="1071"/>
      <c r="G51" s="1071"/>
      <c r="H51" s="1071"/>
      <c r="I51" s="1071"/>
      <c r="J51" s="1071"/>
      <c r="K51" s="1071"/>
      <c r="L51" s="1071"/>
      <c r="M51" s="965"/>
      <c r="N51" s="965"/>
      <c r="O51" s="965"/>
      <c r="P51" s="965"/>
      <c r="Q51" s="965"/>
      <c r="R51" s="965"/>
      <c r="S51" s="965"/>
    </row>
    <row r="52" spans="1:19">
      <c r="A52" s="965"/>
      <c r="B52" s="1146"/>
      <c r="C52" s="965"/>
      <c r="D52" s="965"/>
      <c r="E52" s="965"/>
      <c r="F52" s="965"/>
      <c r="G52" s="965"/>
      <c r="H52" s="965"/>
      <c r="I52" s="965"/>
      <c r="J52" s="965"/>
      <c r="K52" s="1071"/>
      <c r="L52" s="1071"/>
      <c r="M52" s="965"/>
      <c r="N52" s="965"/>
      <c r="O52" s="965"/>
      <c r="P52" s="965"/>
      <c r="Q52" s="965"/>
      <c r="R52" s="965"/>
      <c r="S52" s="965"/>
    </row>
    <row r="53" spans="1:19" ht="16" thickBot="1">
      <c r="A53" s="965"/>
      <c r="B53" s="1071"/>
      <c r="C53" s="1090"/>
      <c r="D53" s="1090"/>
      <c r="E53" s="1090"/>
      <c r="F53" s="1090"/>
      <c r="G53" s="1090"/>
      <c r="H53" s="1090"/>
      <c r="I53" s="1090"/>
      <c r="J53" s="1090"/>
      <c r="K53" s="1091"/>
      <c r="L53" s="1091"/>
      <c r="M53" s="1090"/>
      <c r="N53" s="1090"/>
      <c r="O53" s="1090"/>
      <c r="P53" s="1090"/>
      <c r="Q53" s="965"/>
      <c r="R53" s="965"/>
      <c r="S53" s="965"/>
    </row>
    <row r="54" spans="1:19">
      <c r="A54" s="965"/>
      <c r="B54" s="1071"/>
      <c r="C54" s="1092" t="s">
        <v>767</v>
      </c>
      <c r="D54" s="1093"/>
      <c r="E54" s="1093"/>
      <c r="F54" s="1094"/>
      <c r="G54" s="1094"/>
      <c r="H54" s="1094"/>
      <c r="I54" s="1094"/>
      <c r="J54" s="1093"/>
      <c r="K54" s="1095"/>
      <c r="L54" s="1071"/>
      <c r="M54" s="965"/>
      <c r="N54" s="965"/>
      <c r="O54" s="965"/>
      <c r="P54" s="965"/>
      <c r="Q54" s="965"/>
      <c r="R54" s="965"/>
      <c r="S54" s="965"/>
    </row>
    <row r="55" spans="1:19" ht="16" thickBot="1">
      <c r="A55" s="965"/>
      <c r="B55" s="1071"/>
      <c r="C55" s="1096" t="s">
        <v>768</v>
      </c>
      <c r="D55" s="1097"/>
      <c r="E55" s="1097"/>
      <c r="F55" s="1098"/>
      <c r="G55" s="1099"/>
      <c r="H55" s="1100"/>
      <c r="I55" s="1100"/>
      <c r="J55" s="1097"/>
      <c r="K55" s="1101"/>
      <c r="L55" s="1071"/>
      <c r="M55" s="965"/>
      <c r="N55" s="965"/>
      <c r="O55" s="965"/>
      <c r="P55" s="965"/>
      <c r="Q55" s="965"/>
      <c r="R55" s="965"/>
      <c r="S55" s="965"/>
    </row>
    <row r="56" spans="1:19">
      <c r="A56" s="965"/>
      <c r="B56" s="1071"/>
      <c r="C56" s="1112"/>
      <c r="D56" s="1112"/>
      <c r="E56" s="1112"/>
      <c r="F56" s="1081"/>
      <c r="G56" s="1147"/>
      <c r="H56" s="1148"/>
      <c r="I56" s="1148"/>
      <c r="J56" s="1112"/>
      <c r="K56" s="1112"/>
      <c r="L56" s="1071"/>
      <c r="M56" s="965"/>
      <c r="N56" s="965"/>
      <c r="O56" s="965"/>
      <c r="P56" s="965"/>
      <c r="Q56" s="965"/>
      <c r="R56" s="965"/>
      <c r="S56" s="965"/>
    </row>
    <row r="57" spans="1:19">
      <c r="A57" s="965"/>
      <c r="B57" s="1071"/>
      <c r="C57" s="965"/>
      <c r="D57" s="965"/>
      <c r="E57" s="965"/>
      <c r="F57" s="1081"/>
      <c r="G57" s="1147"/>
      <c r="H57" s="1148"/>
      <c r="I57" s="1148"/>
      <c r="J57" s="1112"/>
      <c r="K57" s="1112"/>
      <c r="L57" s="1071"/>
      <c r="M57" s="965"/>
      <c r="N57" s="965"/>
      <c r="O57" s="965"/>
      <c r="P57" s="965"/>
      <c r="Q57" s="965"/>
      <c r="R57" s="965"/>
      <c r="S57" s="965"/>
    </row>
    <row r="58" spans="1:19">
      <c r="A58" s="965"/>
      <c r="B58" s="1071"/>
      <c r="C58" s="1106" t="s">
        <v>85</v>
      </c>
      <c r="D58" s="1107"/>
      <c r="E58" s="1108"/>
      <c r="F58" s="1109">
        <f t="shared" ref="F58:K58" si="2">F18</f>
        <v>0.24574621026004984</v>
      </c>
      <c r="G58" s="1109">
        <f t="shared" si="2"/>
        <v>0.28251020900537033</v>
      </c>
      <c r="H58" s="1109">
        <f t="shared" si="2"/>
        <v>0.32643979057591621</v>
      </c>
      <c r="I58" s="1109">
        <f t="shared" si="2"/>
        <v>0.31914349087186467</v>
      </c>
      <c r="J58" s="1109">
        <f t="shared" si="2"/>
        <v>0.31623847813296707</v>
      </c>
      <c r="K58" s="1109">
        <f t="shared" si="2"/>
        <v>0.34364759304984555</v>
      </c>
      <c r="L58" s="1149">
        <f>0.34</f>
        <v>0.34</v>
      </c>
      <c r="M58" s="1149">
        <f>0.35</f>
        <v>0.35</v>
      </c>
      <c r="N58" s="1149">
        <v>0.35</v>
      </c>
      <c r="O58" s="1149">
        <v>0.37</v>
      </c>
      <c r="P58" s="1149">
        <v>0.4</v>
      </c>
      <c r="Q58" s="1150">
        <v>0.4</v>
      </c>
      <c r="R58" s="965"/>
      <c r="S58" s="965"/>
    </row>
    <row r="59" spans="1:19">
      <c r="A59" s="965"/>
      <c r="B59" s="1112"/>
      <c r="C59" s="1106" t="s">
        <v>757</v>
      </c>
      <c r="D59" s="1107"/>
      <c r="E59" s="1108"/>
      <c r="F59" s="1109">
        <f t="shared" ref="F59:K59" si="3">F17</f>
        <v>0.48</v>
      </c>
      <c r="G59" s="1109">
        <f t="shared" si="3"/>
        <v>0.64</v>
      </c>
      <c r="H59" s="1109">
        <f t="shared" si="3"/>
        <v>0.86</v>
      </c>
      <c r="I59" s="1109">
        <f t="shared" si="3"/>
        <v>0.86</v>
      </c>
      <c r="J59" s="1109">
        <f t="shared" si="3"/>
        <v>0.86</v>
      </c>
      <c r="K59" s="1109">
        <f t="shared" si="3"/>
        <v>0.97499999999999998</v>
      </c>
      <c r="L59" s="1110">
        <f>L58*L16</f>
        <v>1.0504133575526029</v>
      </c>
      <c r="M59" s="1110">
        <f t="shared" ref="M59:Q59" si="4">M58*M16</f>
        <v>1.1184866000040556</v>
      </c>
      <c r="N59" s="1110">
        <f t="shared" si="4"/>
        <v>1.1434686227557413</v>
      </c>
      <c r="O59" s="1110">
        <f t="shared" si="4"/>
        <v>1.219950477805235</v>
      </c>
      <c r="P59" s="1110">
        <f t="shared" si="4"/>
        <v>1.3249745347002946</v>
      </c>
      <c r="Q59" s="1111">
        <f t="shared" si="4"/>
        <v>1.6077208610193701</v>
      </c>
      <c r="R59" s="965"/>
      <c r="S59" s="965"/>
    </row>
    <row r="60" spans="1:19">
      <c r="A60" s="965"/>
      <c r="B60" s="965"/>
      <c r="C60" s="965"/>
      <c r="D60" s="965"/>
      <c r="E60" s="965"/>
      <c r="F60" s="965"/>
      <c r="G60" s="965"/>
      <c r="H60" s="965"/>
      <c r="I60" s="965"/>
      <c r="J60" s="965"/>
      <c r="K60" s="965"/>
      <c r="L60" s="965"/>
      <c r="M60" s="965"/>
      <c r="N60" s="965"/>
      <c r="O60" s="965"/>
      <c r="P60" s="965"/>
      <c r="Q60" s="965"/>
      <c r="R60" s="965"/>
      <c r="S60" s="965"/>
    </row>
    <row r="61" spans="1:19">
      <c r="A61" s="965"/>
      <c r="B61" s="965"/>
      <c r="C61" s="965"/>
      <c r="D61" s="965"/>
      <c r="E61" s="965"/>
      <c r="F61" s="965"/>
      <c r="G61" s="965"/>
      <c r="H61" s="965"/>
      <c r="I61" s="965"/>
      <c r="J61" s="965"/>
      <c r="K61" s="965"/>
      <c r="L61" s="965"/>
      <c r="M61" s="965"/>
      <c r="N61" s="965"/>
      <c r="O61" s="965"/>
      <c r="P61" s="965"/>
      <c r="Q61" s="965"/>
      <c r="R61" s="965"/>
      <c r="S61" s="965"/>
    </row>
    <row r="62" spans="1:19">
      <c r="A62" s="965"/>
      <c r="B62" s="965"/>
      <c r="C62" s="1086" t="s">
        <v>307</v>
      </c>
      <c r="D62" s="1071"/>
      <c r="E62" s="1071"/>
      <c r="F62" s="965"/>
      <c r="G62" s="965"/>
      <c r="H62" s="965"/>
      <c r="I62" s="1115" t="s">
        <v>763</v>
      </c>
      <c r="J62" s="1116"/>
      <c r="K62" s="1116"/>
      <c r="L62" s="1116"/>
      <c r="M62" s="1116"/>
      <c r="N62" s="1116"/>
      <c r="O62" s="1116"/>
      <c r="P62" s="1116"/>
      <c r="Q62" s="1116"/>
      <c r="R62" s="1116"/>
      <c r="S62" s="1116"/>
    </row>
    <row r="63" spans="1:19">
      <c r="A63" s="965"/>
      <c r="B63" s="965"/>
      <c r="C63" s="1086"/>
      <c r="D63" s="1071"/>
      <c r="E63" s="1071"/>
      <c r="F63" s="965"/>
      <c r="G63" s="1071"/>
      <c r="H63" s="965"/>
      <c r="I63" s="1117">
        <v>0.01</v>
      </c>
      <c r="J63" s="1118"/>
      <c r="K63" s="1118"/>
      <c r="L63" s="1118">
        <f>I63+0.005</f>
        <v>1.4999999999999999E-2</v>
      </c>
      <c r="M63" s="1118"/>
      <c r="N63" s="1118"/>
      <c r="O63" s="1118">
        <f>L63+0.005</f>
        <v>0.02</v>
      </c>
      <c r="P63" s="1118"/>
      <c r="Q63" s="1118"/>
      <c r="R63" s="1118">
        <f>O63+0.005</f>
        <v>2.5000000000000001E-2</v>
      </c>
      <c r="S63" s="1119"/>
    </row>
    <row r="64" spans="1:19">
      <c r="A64" s="965"/>
      <c r="B64" s="965"/>
      <c r="C64" s="1071"/>
      <c r="D64" s="1071"/>
      <c r="E64" s="1071"/>
      <c r="F64" s="965"/>
      <c r="G64" s="1071"/>
      <c r="H64" s="965"/>
      <c r="I64" s="1071"/>
      <c r="J64" s="1104"/>
      <c r="K64" s="1071"/>
      <c r="L64" s="1071"/>
      <c r="M64" s="1071"/>
      <c r="N64" s="965"/>
      <c r="O64" s="965"/>
      <c r="P64" s="965"/>
      <c r="Q64" s="965"/>
      <c r="R64" s="965"/>
      <c r="S64" s="965"/>
    </row>
    <row r="65" spans="1:19">
      <c r="A65" s="965"/>
      <c r="B65" s="965"/>
      <c r="C65" s="1120">
        <f>C31</f>
        <v>6.0150666666666665E-2</v>
      </c>
      <c r="D65" s="1121"/>
      <c r="E65" s="1112"/>
      <c r="F65" s="1122" t="s">
        <v>764</v>
      </c>
      <c r="G65" s="1112"/>
      <c r="H65" s="965"/>
      <c r="I65" s="1123">
        <f>NPV($C65,$L$59:$P$59)*(1+$C65)^0.75</f>
        <v>5.1202791426922261</v>
      </c>
      <c r="J65" s="1124"/>
      <c r="K65" s="1087"/>
      <c r="L65" s="1123">
        <f>NPV($C65,$L$59:$P$59)*(1+$C65)^0.75</f>
        <v>5.1202791426922261</v>
      </c>
      <c r="M65" s="1087"/>
      <c r="N65" s="1113"/>
      <c r="O65" s="1123">
        <f>NPV($C65,$L$59:$P$59)*(1+$C65)^0.75</f>
        <v>5.1202791426922261</v>
      </c>
      <c r="P65" s="1113"/>
      <c r="Q65" s="1113"/>
      <c r="R65" s="1123">
        <f>NPV($C65,$L$59:$P$59)*(1+$C65)^0.75</f>
        <v>5.1202791426922261</v>
      </c>
      <c r="S65" s="965"/>
    </row>
    <row r="66" spans="1:19">
      <c r="A66" s="965"/>
      <c r="B66" s="965"/>
      <c r="C66" s="1125"/>
      <c r="D66" s="1125"/>
      <c r="E66" s="1071"/>
      <c r="F66" s="1122" t="s">
        <v>765</v>
      </c>
      <c r="G66" s="1071"/>
      <c r="H66" s="1071"/>
      <c r="I66" s="1123">
        <f>($Q$59/($C65-I$63))/(1+$C65)^4.25</f>
        <v>25.010459774685671</v>
      </c>
      <c r="J66" s="1071"/>
      <c r="K66" s="1071"/>
      <c r="L66" s="1123">
        <f>($Q$59/($C65-L$63))/(1+$C65)^4.25</f>
        <v>27.780126495149638</v>
      </c>
      <c r="M66" s="965"/>
      <c r="N66" s="965"/>
      <c r="O66" s="1123">
        <f>($Q$59/($C65-O$63))/(1+$C65)^4.25</f>
        <v>31.239611579890816</v>
      </c>
      <c r="P66" s="965"/>
      <c r="Q66" s="965"/>
      <c r="R66" s="1123">
        <f>($Q$59/($C65-R$63))/(1+$C65)^4.25</f>
        <v>35.683284281199107</v>
      </c>
      <c r="S66" s="965"/>
    </row>
    <row r="67" spans="1:19">
      <c r="A67" s="965"/>
      <c r="B67" s="965"/>
      <c r="C67" s="1125"/>
      <c r="D67" s="1125"/>
      <c r="E67" s="1071"/>
      <c r="F67" s="1126" t="s">
        <v>766</v>
      </c>
      <c r="G67" s="1071"/>
      <c r="H67" s="1071"/>
      <c r="I67" s="1127">
        <f>SUM(I65:I66)</f>
        <v>30.130738917377897</v>
      </c>
      <c r="J67" s="1071"/>
      <c r="K67" s="1071"/>
      <c r="L67" s="1127">
        <f>SUM(L65:L66)</f>
        <v>32.900405637841864</v>
      </c>
      <c r="M67" s="965"/>
      <c r="N67" s="965"/>
      <c r="O67" s="1127">
        <f>SUM(O65:O66)</f>
        <v>36.359890722583046</v>
      </c>
      <c r="P67" s="965"/>
      <c r="Q67" s="965"/>
      <c r="R67" s="1127">
        <f>SUM(R65:R66)</f>
        <v>40.803563423891333</v>
      </c>
      <c r="S67" s="965"/>
    </row>
    <row r="68" spans="1:19">
      <c r="A68" s="965"/>
      <c r="B68" s="965"/>
      <c r="C68" s="1125"/>
      <c r="D68" s="1125"/>
      <c r="E68" s="1071"/>
      <c r="F68" s="1071"/>
      <c r="G68" s="1071"/>
      <c r="H68" s="1071"/>
      <c r="I68" s="1071"/>
      <c r="J68" s="1071"/>
      <c r="K68" s="1071"/>
      <c r="L68" s="1071"/>
      <c r="M68" s="965"/>
      <c r="N68" s="965"/>
      <c r="O68" s="965"/>
      <c r="P68" s="965"/>
      <c r="Q68" s="965"/>
      <c r="R68" s="965"/>
      <c r="S68" s="965"/>
    </row>
    <row r="69" spans="1:19">
      <c r="A69" s="965"/>
      <c r="B69" s="965"/>
      <c r="C69" s="1125"/>
      <c r="D69" s="1125"/>
      <c r="E69" s="1071"/>
      <c r="F69" s="1071"/>
      <c r="G69" s="1128"/>
      <c r="H69" s="1071"/>
      <c r="I69" s="1129"/>
      <c r="J69" s="1071"/>
      <c r="K69" s="1071"/>
      <c r="L69" s="1071"/>
      <c r="M69" s="965"/>
      <c r="N69" s="965"/>
      <c r="O69" s="965"/>
      <c r="P69" s="965"/>
      <c r="Q69" s="965"/>
      <c r="R69" s="965"/>
      <c r="S69" s="965"/>
    </row>
    <row r="70" spans="1:19">
      <c r="A70" s="965"/>
      <c r="B70" s="965"/>
      <c r="C70" s="1130">
        <f>C65+0.01</f>
        <v>7.0150666666666667E-2</v>
      </c>
      <c r="D70" s="1131"/>
      <c r="E70" s="1071"/>
      <c r="F70" s="1122" t="s">
        <v>764</v>
      </c>
      <c r="G70" s="1071"/>
      <c r="H70" s="1071"/>
      <c r="I70" s="1123">
        <f>NPV($C70,$L$59:$P$59)*(1+$C70)^0.75</f>
        <v>5.0140082719414201</v>
      </c>
      <c r="J70" s="1071"/>
      <c r="K70" s="1071"/>
      <c r="L70" s="1123">
        <f>NPV($C70,$L$59:$P$59)*(1+$C70)^0.75</f>
        <v>5.0140082719414201</v>
      </c>
      <c r="M70" s="965"/>
      <c r="N70" s="965"/>
      <c r="O70" s="1123">
        <f>NPV($C70,$L$59:$P$59)*(1+$C70)^0.75</f>
        <v>5.0140082719414201</v>
      </c>
      <c r="P70" s="965"/>
      <c r="Q70" s="965"/>
      <c r="R70" s="1123">
        <f>NPV($C70,$L$59:$P$59)*(1+$C70)^0.75</f>
        <v>5.0140082719414201</v>
      </c>
      <c r="S70" s="965"/>
    </row>
    <row r="71" spans="1:19">
      <c r="A71" s="965"/>
      <c r="B71" s="965"/>
      <c r="C71" s="1125"/>
      <c r="D71" s="1125"/>
      <c r="E71" s="1071"/>
      <c r="F71" s="1122" t="s">
        <v>765</v>
      </c>
      <c r="G71" s="1071"/>
      <c r="H71" s="1071"/>
      <c r="I71" s="1123">
        <f>($Q$59/($C70-I$63))/(1+$C70)^4.25</f>
        <v>20.036841595135076</v>
      </c>
      <c r="J71" s="1071"/>
      <c r="K71" s="1071"/>
      <c r="L71" s="1123">
        <f>($Q$59/($C70-L$63))/(1+$C70)^4.25</f>
        <v>21.853396390042516</v>
      </c>
      <c r="M71" s="965"/>
      <c r="N71" s="965"/>
      <c r="O71" s="1123">
        <f>($Q$59/($C70-O$63))/(1+$C70)^4.25</f>
        <v>24.032170655925572</v>
      </c>
      <c r="P71" s="965"/>
      <c r="Q71" s="965"/>
      <c r="R71" s="1123">
        <f>($Q$59/($C70-R$63))/(1+$C70)^4.25</f>
        <v>26.693501310614199</v>
      </c>
      <c r="S71" s="965"/>
    </row>
    <row r="72" spans="1:19">
      <c r="A72" s="965"/>
      <c r="B72" s="965"/>
      <c r="C72" s="1125"/>
      <c r="D72" s="1125"/>
      <c r="E72" s="1071"/>
      <c r="F72" s="1126" t="s">
        <v>766</v>
      </c>
      <c r="G72" s="1071"/>
      <c r="H72" s="1071"/>
      <c r="I72" s="1127">
        <f>SUM(I70:I71)</f>
        <v>25.050849867076497</v>
      </c>
      <c r="J72" s="1071"/>
      <c r="K72" s="1071"/>
      <c r="L72" s="1127">
        <f>SUM(L70:L71)</f>
        <v>26.867404661983937</v>
      </c>
      <c r="M72" s="965"/>
      <c r="N72" s="965"/>
      <c r="O72" s="1127">
        <f>SUM(O70:O71)</f>
        <v>29.046178927866993</v>
      </c>
      <c r="P72" s="965"/>
      <c r="Q72" s="965"/>
      <c r="R72" s="1127">
        <f>SUM(R70:R71)</f>
        <v>31.70750958255562</v>
      </c>
      <c r="S72" s="965"/>
    </row>
    <row r="73" spans="1:19">
      <c r="A73" s="1132"/>
      <c r="B73" s="1132"/>
      <c r="C73" s="1134"/>
      <c r="D73" s="1134"/>
      <c r="E73" s="1133"/>
      <c r="F73" s="1133"/>
      <c r="G73" s="1135"/>
      <c r="H73" s="1133"/>
      <c r="I73" s="1136"/>
      <c r="J73" s="1133"/>
      <c r="K73" s="1133"/>
      <c r="L73" s="1133"/>
      <c r="M73" s="1132"/>
      <c r="N73" s="1132"/>
      <c r="O73" s="1132"/>
      <c r="P73" s="1132"/>
      <c r="Q73" s="1132"/>
      <c r="R73" s="1132"/>
      <c r="S73" s="1132"/>
    </row>
    <row r="74" spans="1:19">
      <c r="A74" s="1132"/>
      <c r="B74" s="1132"/>
      <c r="C74" s="1134"/>
      <c r="D74" s="1134"/>
      <c r="E74" s="1133"/>
      <c r="F74" s="1133"/>
      <c r="G74" s="1133"/>
      <c r="H74" s="1133"/>
      <c r="I74" s="1133"/>
      <c r="J74" s="1133"/>
      <c r="K74" s="1133"/>
      <c r="L74" s="1133"/>
      <c r="M74" s="1132"/>
      <c r="N74" s="1132"/>
      <c r="O74" s="1132"/>
      <c r="P74" s="1132"/>
      <c r="Q74" s="1132"/>
      <c r="R74" s="1132"/>
      <c r="S74" s="1132"/>
    </row>
    <row r="75" spans="1:19">
      <c r="A75" s="1132"/>
      <c r="B75" s="1132"/>
      <c r="C75" s="1138">
        <f>C70+0.011</f>
        <v>8.1150666666666663E-2</v>
      </c>
      <c r="D75" s="1139"/>
      <c r="E75" s="1133"/>
      <c r="F75" s="1140" t="s">
        <v>764</v>
      </c>
      <c r="G75" s="1133"/>
      <c r="H75" s="1133"/>
      <c r="I75" s="1141">
        <f>NPV($C75,$L$59:$P$59)*(1+$C75)^0.75</f>
        <v>4.9017503267244882</v>
      </c>
      <c r="J75" s="1133"/>
      <c r="K75" s="1133"/>
      <c r="L75" s="1141">
        <f>NPV($C75,$L$59:$P$59)*(1+$C75)^0.75</f>
        <v>4.9017503267244882</v>
      </c>
      <c r="M75" s="1132"/>
      <c r="N75" s="1132"/>
      <c r="O75" s="1141">
        <f>NPV($C75,$L$59:$P$59)*(1+$C75)^0.75</f>
        <v>4.9017503267244882</v>
      </c>
      <c r="P75" s="1132"/>
      <c r="Q75" s="1132"/>
      <c r="R75" s="1141">
        <f>NPV($C75,$L$59:$P$59)*(1+$C75)^0.75</f>
        <v>4.9017503267244882</v>
      </c>
      <c r="S75" s="1132"/>
    </row>
    <row r="76" spans="1:19">
      <c r="A76" s="1132"/>
      <c r="B76" s="1132"/>
      <c r="C76" s="1134"/>
      <c r="D76" s="1134"/>
      <c r="E76" s="1133"/>
      <c r="F76" s="1140" t="s">
        <v>765</v>
      </c>
      <c r="G76" s="1133"/>
      <c r="H76" s="1133"/>
      <c r="I76" s="1141">
        <f>($Q$59/($C75-I$63))/(1+$C75)^4.25</f>
        <v>16.21866996498655</v>
      </c>
      <c r="J76" s="1133"/>
      <c r="K76" s="1133"/>
      <c r="L76" s="1141">
        <f>($Q$59/($C75-L$63))/(1+$C75)^4.25</f>
        <v>17.444558590320629</v>
      </c>
      <c r="M76" s="1132"/>
      <c r="N76" s="1132"/>
      <c r="O76" s="1141">
        <f>($Q$59/($C75-O$63))/(1+$C75)^4.25</f>
        <v>18.870917413635773</v>
      </c>
      <c r="P76" s="1132"/>
      <c r="Q76" s="1132"/>
      <c r="R76" s="1141">
        <f>($Q$59/($C75-R$63))/(1+$C75)^4.25</f>
        <v>20.551299725537895</v>
      </c>
      <c r="S76" s="1132"/>
    </row>
    <row r="77" spans="1:19">
      <c r="A77" s="1132"/>
      <c r="B77" s="1132"/>
      <c r="C77" s="1134"/>
      <c r="D77" s="1134"/>
      <c r="E77" s="1133"/>
      <c r="F77" s="1143" t="s">
        <v>766</v>
      </c>
      <c r="G77" s="1133"/>
      <c r="H77" s="1133"/>
      <c r="I77" s="1144">
        <f>SUM(I75:I76)</f>
        <v>21.120420291711039</v>
      </c>
      <c r="J77" s="1133"/>
      <c r="K77" s="1133"/>
      <c r="L77" s="1144">
        <f>SUM(L75:L76)</f>
        <v>22.346308917045118</v>
      </c>
      <c r="M77" s="1132"/>
      <c r="N77" s="1132"/>
      <c r="O77" s="1144">
        <f>SUM(O75:O76)</f>
        <v>23.772667740360262</v>
      </c>
      <c r="P77" s="1132"/>
      <c r="Q77" s="1132"/>
      <c r="R77" s="1144">
        <f>SUM(R75:R76)</f>
        <v>25.453050052262384</v>
      </c>
      <c r="S77" s="1132"/>
    </row>
    <row r="78" spans="1:19">
      <c r="A78" s="1132"/>
      <c r="B78" s="1132"/>
      <c r="C78" s="1134"/>
      <c r="D78" s="1134"/>
      <c r="E78" s="1133"/>
      <c r="F78" s="1133"/>
      <c r="G78" s="1133"/>
      <c r="H78" s="1133"/>
      <c r="I78" s="1133"/>
      <c r="J78" s="1133"/>
      <c r="K78" s="1133"/>
      <c r="L78" s="1133"/>
      <c r="M78" s="1132"/>
      <c r="N78" s="1132"/>
      <c r="O78" s="1132"/>
      <c r="P78" s="1132"/>
      <c r="Q78" s="1132"/>
      <c r="R78" s="1132"/>
      <c r="S78" s="1132"/>
    </row>
    <row r="79" spans="1:19">
      <c r="A79" s="1132"/>
      <c r="B79" s="1132"/>
      <c r="C79" s="1134"/>
      <c r="D79" s="1134"/>
      <c r="E79" s="1133"/>
      <c r="F79" s="1133"/>
      <c r="G79" s="1133"/>
      <c r="H79" s="1133"/>
      <c r="I79" s="1133"/>
      <c r="J79" s="1133"/>
      <c r="K79" s="1133"/>
      <c r="L79" s="1133"/>
      <c r="M79" s="1132"/>
      <c r="N79" s="1132"/>
      <c r="O79" s="1132"/>
      <c r="P79" s="1132"/>
      <c r="Q79" s="1132"/>
      <c r="R79" s="1132"/>
      <c r="S79" s="1132"/>
    </row>
    <row r="80" spans="1:19">
      <c r="A80" s="965"/>
      <c r="B80" s="965"/>
      <c r="C80" s="1130">
        <f>C75+0.01</f>
        <v>9.1150666666666658E-2</v>
      </c>
      <c r="D80" s="1131"/>
      <c r="E80" s="1071"/>
      <c r="F80" s="1122" t="s">
        <v>764</v>
      </c>
      <c r="G80" s="1071"/>
      <c r="H80" s="1071"/>
      <c r="I80" s="1123">
        <f>NPV($C80,$L$59:$P$59)*(1+$C80)^0.75</f>
        <v>4.8037016501686018</v>
      </c>
      <c r="J80" s="1071"/>
      <c r="K80" s="1071"/>
      <c r="L80" s="1123">
        <f>NPV($C80,$L$59:$P$59)*(1+$C80)^0.75</f>
        <v>4.8037016501686018</v>
      </c>
      <c r="M80" s="965"/>
      <c r="N80" s="965"/>
      <c r="O80" s="1123">
        <f>NPV($C80,$L$59:$P$59)*(1+$C80)^0.75</f>
        <v>4.8037016501686018</v>
      </c>
      <c r="P80" s="965"/>
      <c r="Q80" s="965"/>
      <c r="R80" s="1123">
        <f>NPV($C80,$L$59:$P$59)*(1+$C80)^0.75</f>
        <v>4.8037016501686018</v>
      </c>
      <c r="S80" s="965"/>
    </row>
    <row r="81" spans="1:19">
      <c r="A81" s="965"/>
      <c r="B81" s="965"/>
      <c r="C81" s="1071"/>
      <c r="D81" s="1071"/>
      <c r="E81" s="1071"/>
      <c r="F81" s="1122" t="s">
        <v>765</v>
      </c>
      <c r="G81" s="1071"/>
      <c r="H81" s="1071"/>
      <c r="I81" s="1123">
        <f>($Q$59/($C80-I$63))/(1+$C80)^4.25</f>
        <v>13.674406468609018</v>
      </c>
      <c r="J81" s="1071"/>
      <c r="K81" s="1071"/>
      <c r="L81" s="1123">
        <f>($Q$59/($C80-L$63))/(1+$C80)^4.25</f>
        <v>14.572258520808758</v>
      </c>
      <c r="M81" s="965"/>
      <c r="N81" s="965"/>
      <c r="O81" s="1123">
        <f>($Q$59/($C80-O$63))/(1+$C80)^4.25</f>
        <v>15.596300824521686</v>
      </c>
      <c r="P81" s="965"/>
      <c r="Q81" s="965"/>
      <c r="R81" s="1123">
        <f>($Q$59/($C80-R$63))/(1+$C80)^4.25</f>
        <v>16.775147660874179</v>
      </c>
      <c r="S81" s="965"/>
    </row>
    <row r="82" spans="1:19">
      <c r="A82" s="965"/>
      <c r="B82" s="965"/>
      <c r="C82" s="1071"/>
      <c r="D82" s="1071"/>
      <c r="E82" s="1071"/>
      <c r="F82" s="1126" t="s">
        <v>766</v>
      </c>
      <c r="G82" s="1071"/>
      <c r="H82" s="1071"/>
      <c r="I82" s="1127">
        <f>SUM(I80:I81)</f>
        <v>18.478108118777619</v>
      </c>
      <c r="J82" s="1071"/>
      <c r="K82" s="1071"/>
      <c r="L82" s="1127">
        <f>SUM(L80:L81)</f>
        <v>19.375960170977358</v>
      </c>
      <c r="M82" s="965"/>
      <c r="N82" s="965"/>
      <c r="O82" s="1127">
        <f>SUM(O80:O81)</f>
        <v>20.400002474690289</v>
      </c>
      <c r="P82" s="965"/>
      <c r="Q82" s="965"/>
      <c r="R82" s="1127">
        <f>SUM(R80:R81)</f>
        <v>21.578849311042781</v>
      </c>
      <c r="S82" s="965"/>
    </row>
    <row r="83" spans="1:19">
      <c r="A83" s="965"/>
      <c r="B83" s="965"/>
      <c r="C83" s="1071"/>
      <c r="D83" s="1071"/>
      <c r="E83" s="1071"/>
      <c r="F83" s="1071"/>
      <c r="G83" s="1071"/>
      <c r="H83" s="1071"/>
      <c r="I83" s="1071"/>
      <c r="J83" s="1071"/>
      <c r="K83" s="1071"/>
      <c r="L83" s="1071"/>
      <c r="M83" s="965"/>
      <c r="N83" s="965"/>
      <c r="O83" s="965"/>
      <c r="P83" s="965"/>
      <c r="Q83" s="965"/>
      <c r="R83" s="965"/>
      <c r="S83" s="965"/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C257"/>
  <sheetViews>
    <sheetView zoomScale="115" zoomScaleNormal="115" zoomScalePageLayoutView="115" workbookViewId="0">
      <selection activeCell="C123" sqref="C123"/>
    </sheetView>
  </sheetViews>
  <sheetFormatPr baseColWidth="10" defaultColWidth="8.83203125" defaultRowHeight="13"/>
  <cols>
    <col min="1" max="1" width="2.1640625" style="587" customWidth="1"/>
    <col min="2" max="2" width="2" style="587" customWidth="1"/>
    <col min="3" max="3" width="74.33203125" style="587" customWidth="1"/>
    <col min="4" max="4" width="11.1640625" style="587" customWidth="1"/>
    <col min="5" max="5" width="10.6640625" style="587" customWidth="1"/>
    <col min="6" max="6" width="11.33203125" style="587" customWidth="1"/>
    <col min="7" max="7" width="9" style="587" customWidth="1"/>
    <col min="8" max="9" width="8.1640625" style="587" bestFit="1" customWidth="1"/>
    <col min="10" max="10" width="9.1640625" style="587" bestFit="1" customWidth="1"/>
    <col min="11" max="11" width="10.1640625" style="587" customWidth="1"/>
    <col min="12" max="13" width="7.1640625" style="587" customWidth="1"/>
    <col min="14" max="14" width="10" style="587" customWidth="1"/>
    <col min="15" max="15" width="8.1640625" style="587" customWidth="1"/>
    <col min="16" max="22" width="8.83203125" style="587"/>
    <col min="23" max="26" width="6.1640625" style="587" bestFit="1" customWidth="1"/>
    <col min="27" max="28" width="7" style="587" bestFit="1" customWidth="1"/>
    <col min="29" max="29" width="13" style="587" bestFit="1" customWidth="1"/>
    <col min="30" max="35" width="5.6640625" style="587" bestFit="1" customWidth="1"/>
    <col min="36" max="16384" width="8.83203125" style="587"/>
  </cols>
  <sheetData>
    <row r="1" spans="1:22" ht="18">
      <c r="C1" s="1151" t="s">
        <v>252</v>
      </c>
      <c r="D1" s="1151"/>
      <c r="E1" s="1151"/>
      <c r="F1" s="1151"/>
      <c r="G1" s="752"/>
      <c r="H1" s="588"/>
      <c r="I1" s="588"/>
      <c r="J1" s="588"/>
      <c r="K1" s="589"/>
      <c r="L1" s="589"/>
      <c r="M1" s="589"/>
      <c r="N1" s="590"/>
      <c r="O1" s="590"/>
      <c r="P1" s="590"/>
      <c r="Q1" s="590"/>
    </row>
    <row r="2" spans="1:22" ht="18">
      <c r="C2" s="1152" t="s">
        <v>251</v>
      </c>
      <c r="D2" s="1152"/>
      <c r="E2" s="1152"/>
      <c r="F2" s="1152"/>
      <c r="G2" s="753"/>
      <c r="H2" s="591"/>
      <c r="I2" s="591"/>
      <c r="J2" s="591"/>
      <c r="K2" s="592"/>
      <c r="L2" s="592"/>
      <c r="M2" s="592"/>
      <c r="N2" s="593"/>
      <c r="O2" s="593"/>
      <c r="P2" s="593"/>
      <c r="Q2" s="590"/>
    </row>
    <row r="3" spans="1:22" ht="18">
      <c r="C3" s="594" t="s">
        <v>256</v>
      </c>
      <c r="D3" s="595"/>
      <c r="E3" s="596"/>
      <c r="F3" s="597"/>
      <c r="G3" s="598"/>
      <c r="H3" s="590"/>
      <c r="I3" s="599"/>
      <c r="J3" s="599"/>
      <c r="K3" s="589"/>
      <c r="L3" s="589"/>
      <c r="M3" s="589"/>
      <c r="N3" s="590"/>
      <c r="O3" s="590"/>
      <c r="P3" s="590"/>
      <c r="Q3" s="590"/>
    </row>
    <row r="4" spans="1:22" ht="15" customHeight="1" thickBot="1">
      <c r="B4" s="590"/>
      <c r="C4" s="600"/>
      <c r="D4" s="601" t="s">
        <v>65</v>
      </c>
      <c r="E4" s="601" t="s">
        <v>64</v>
      </c>
      <c r="F4" s="601" t="s">
        <v>63</v>
      </c>
      <c r="G4" s="602" t="s">
        <v>367</v>
      </c>
      <c r="H4" s="603"/>
      <c r="I4" s="603"/>
      <c r="J4" s="603"/>
      <c r="K4" s="604"/>
      <c r="L4" s="604"/>
      <c r="M4" s="604"/>
      <c r="N4" s="604"/>
      <c r="O4" s="604"/>
      <c r="P4" s="604"/>
      <c r="Q4" s="590"/>
    </row>
    <row r="5" spans="1:22" ht="15" customHeight="1">
      <c r="B5" s="590"/>
      <c r="C5" s="590"/>
      <c r="D5" s="604"/>
      <c r="E5" s="604"/>
      <c r="F5" s="604"/>
      <c r="G5" s="605"/>
      <c r="H5" s="604"/>
      <c r="I5" s="606"/>
      <c r="J5" s="606"/>
      <c r="K5" s="604"/>
      <c r="L5" s="604"/>
      <c r="M5" s="604"/>
      <c r="N5" s="590"/>
      <c r="O5" s="590"/>
      <c r="P5" s="590"/>
      <c r="Q5" s="590"/>
    </row>
    <row r="6" spans="1:22">
      <c r="C6" s="607" t="s">
        <v>250</v>
      </c>
      <c r="F6" s="590"/>
      <c r="G6" s="608"/>
      <c r="H6" s="590"/>
      <c r="I6" s="590"/>
      <c r="J6" s="590"/>
      <c r="K6" s="590"/>
      <c r="L6" s="590"/>
      <c r="M6" s="590"/>
      <c r="N6" s="590"/>
      <c r="O6" s="590"/>
      <c r="P6" s="590"/>
      <c r="Q6" s="590"/>
    </row>
    <row r="7" spans="1:22">
      <c r="A7" s="590"/>
      <c r="B7" s="598"/>
      <c r="C7" s="609" t="s">
        <v>232</v>
      </c>
      <c r="D7" s="597"/>
      <c r="E7" s="597"/>
      <c r="F7" s="597"/>
      <c r="G7" s="598"/>
      <c r="H7" s="590"/>
      <c r="I7" s="590"/>
      <c r="J7" s="590"/>
      <c r="K7" s="604"/>
      <c r="L7" s="604"/>
      <c r="M7" s="604"/>
      <c r="N7" s="590"/>
      <c r="O7" s="590"/>
      <c r="P7" s="590"/>
      <c r="Q7" s="590"/>
    </row>
    <row r="8" spans="1:22">
      <c r="A8" s="590"/>
      <c r="B8" s="598"/>
      <c r="C8" s="610" t="s">
        <v>22</v>
      </c>
      <c r="D8" s="590">
        <v>11396.4</v>
      </c>
      <c r="E8" s="590">
        <v>11674.9</v>
      </c>
      <c r="F8" s="590">
        <v>11402.8</v>
      </c>
      <c r="G8" s="598">
        <v>2701.3</v>
      </c>
      <c r="H8" s="611"/>
      <c r="I8" s="611"/>
      <c r="J8" s="611"/>
      <c r="K8" s="611"/>
      <c r="L8" s="590"/>
      <c r="M8" s="590"/>
      <c r="N8" s="590"/>
      <c r="O8" s="590"/>
      <c r="P8" s="590"/>
      <c r="Q8" s="590"/>
    </row>
    <row r="9" spans="1:22">
      <c r="A9" s="590"/>
      <c r="B9" s="598"/>
      <c r="C9" s="610" t="s">
        <v>249</v>
      </c>
      <c r="D9" s="590"/>
      <c r="E9" s="590"/>
      <c r="F9" s="590"/>
      <c r="G9" s="612"/>
      <c r="H9" s="611"/>
      <c r="I9" s="611"/>
      <c r="J9" s="611"/>
      <c r="K9" s="611"/>
      <c r="L9" s="590"/>
      <c r="M9" s="590"/>
      <c r="N9" s="590"/>
      <c r="O9" s="590"/>
      <c r="P9" s="590"/>
      <c r="Q9" s="590"/>
    </row>
    <row r="10" spans="1:22">
      <c r="A10" s="590"/>
      <c r="B10" s="598"/>
      <c r="C10" s="613" t="s">
        <v>248</v>
      </c>
      <c r="D10" s="590">
        <v>-9333.6</v>
      </c>
      <c r="E10" s="590">
        <v>-9485.9</v>
      </c>
      <c r="F10" s="590">
        <v>-9237</v>
      </c>
      <c r="G10" s="598">
        <v>-2523.8000000000002</v>
      </c>
      <c r="H10" s="611"/>
      <c r="I10" s="611"/>
      <c r="J10" s="611"/>
      <c r="K10" s="611"/>
      <c r="L10" s="590"/>
      <c r="M10" s="590"/>
      <c r="N10" s="590"/>
      <c r="O10" s="590"/>
      <c r="P10" s="590"/>
      <c r="Q10" s="590"/>
    </row>
    <row r="11" spans="1:22">
      <c r="A11" s="590"/>
      <c r="B11" s="598"/>
      <c r="C11" s="613" t="s">
        <v>247</v>
      </c>
      <c r="D11" s="590">
        <v>-1318.4</v>
      </c>
      <c r="E11" s="590">
        <v>-1366.1</v>
      </c>
      <c r="F11" s="590">
        <v>-1344.6</v>
      </c>
      <c r="G11" s="598">
        <v>0</v>
      </c>
      <c r="H11" s="611">
        <f>F11/F8</f>
        <v>-0.1179184060055425</v>
      </c>
      <c r="I11" s="590">
        <f>3716.9/17612</f>
        <v>0.21104360663184193</v>
      </c>
      <c r="J11" s="590">
        <f>6349/32175</f>
        <v>0.19732711732711733</v>
      </c>
      <c r="K11" s="611"/>
      <c r="L11" s="590"/>
      <c r="M11" s="590"/>
      <c r="N11" s="590"/>
      <c r="O11" s="590"/>
      <c r="P11" s="590"/>
      <c r="Q11" s="590"/>
    </row>
    <row r="12" spans="1:22" s="615" customFormat="1">
      <c r="A12" s="590"/>
      <c r="B12" s="598"/>
      <c r="C12" s="614" t="s">
        <v>246</v>
      </c>
      <c r="D12" s="615">
        <v>-20.5</v>
      </c>
      <c r="E12" s="615">
        <v>0</v>
      </c>
      <c r="F12" s="615">
        <v>-40</v>
      </c>
      <c r="G12" s="608">
        <v>-6.4</v>
      </c>
      <c r="H12" s="611"/>
      <c r="I12" s="590"/>
      <c r="J12" s="590"/>
      <c r="K12" s="611"/>
      <c r="L12" s="590"/>
      <c r="M12" s="590"/>
      <c r="N12" s="590"/>
      <c r="O12" s="590"/>
      <c r="P12" s="590"/>
      <c r="Q12" s="590"/>
      <c r="R12" s="590"/>
      <c r="S12" s="590"/>
      <c r="T12" s="590"/>
      <c r="U12" s="590"/>
      <c r="V12" s="590"/>
    </row>
    <row r="13" spans="1:22">
      <c r="A13" s="590"/>
      <c r="B13" s="598"/>
      <c r="C13" s="616" t="s">
        <v>135</v>
      </c>
      <c r="D13" s="617">
        <f>SUM(D8:D12)</f>
        <v>723.89999999999918</v>
      </c>
      <c r="E13" s="617">
        <f>SUM(E8:E12)</f>
        <v>822.90000000000009</v>
      </c>
      <c r="F13" s="617">
        <f>SUM(F8:F12)</f>
        <v>781.19999999999936</v>
      </c>
      <c r="G13" s="598">
        <f>SUM(G8:G12)</f>
        <v>171.1</v>
      </c>
      <c r="H13" s="611"/>
      <c r="I13" s="590"/>
      <c r="J13" s="590"/>
      <c r="K13" s="611"/>
      <c r="L13" s="590"/>
      <c r="M13" s="590"/>
      <c r="N13" s="590"/>
      <c r="O13" s="590"/>
      <c r="P13" s="590"/>
      <c r="Q13" s="590"/>
      <c r="R13" s="590"/>
      <c r="S13" s="590"/>
      <c r="T13" s="590"/>
      <c r="U13" s="590"/>
      <c r="V13" s="590"/>
    </row>
    <row r="14" spans="1:22" s="622" customFormat="1">
      <c r="A14" s="618"/>
      <c r="B14" s="619"/>
      <c r="C14" s="620" t="s">
        <v>245</v>
      </c>
      <c r="D14" s="621">
        <v>-179.3</v>
      </c>
      <c r="E14" s="622">
        <v>-183.9</v>
      </c>
      <c r="F14" s="622">
        <v>-179.6</v>
      </c>
      <c r="G14" s="623">
        <v>-41</v>
      </c>
      <c r="H14" s="624"/>
      <c r="I14" s="624"/>
      <c r="J14" s="624"/>
      <c r="K14" s="611"/>
      <c r="L14" s="618"/>
      <c r="M14" s="618"/>
      <c r="N14" s="618"/>
      <c r="O14" s="618"/>
      <c r="P14" s="618"/>
      <c r="Q14" s="618"/>
      <c r="R14" s="618"/>
      <c r="S14" s="618"/>
      <c r="T14" s="618"/>
      <c r="U14" s="618"/>
      <c r="V14" s="618"/>
    </row>
    <row r="15" spans="1:22" s="626" customFormat="1">
      <c r="A15" s="618"/>
      <c r="B15" s="619"/>
      <c r="C15" s="616" t="s">
        <v>244</v>
      </c>
      <c r="D15" s="617">
        <f>SUM(D13:D14)</f>
        <v>544.59999999999923</v>
      </c>
      <c r="E15" s="617">
        <f>SUM(E13:E14)</f>
        <v>639.00000000000011</v>
      </c>
      <c r="F15" s="617">
        <f>SUM(F13:F14)</f>
        <v>601.59999999999934</v>
      </c>
      <c r="G15" s="625">
        <f>SUM(G13:G14)</f>
        <v>130.1</v>
      </c>
      <c r="H15" s="624"/>
      <c r="I15" s="624"/>
      <c r="J15" s="624"/>
      <c r="K15" s="611"/>
      <c r="L15" s="618"/>
      <c r="M15" s="618"/>
      <c r="N15" s="618"/>
      <c r="O15" s="618"/>
      <c r="P15" s="618"/>
      <c r="Q15" s="618"/>
      <c r="R15" s="618"/>
      <c r="S15" s="618"/>
      <c r="T15" s="618"/>
      <c r="U15" s="618"/>
      <c r="V15" s="618"/>
    </row>
    <row r="16" spans="1:22">
      <c r="A16" s="590"/>
      <c r="B16" s="598"/>
      <c r="C16" s="627" t="s">
        <v>243</v>
      </c>
      <c r="D16" s="597">
        <v>-41.5</v>
      </c>
      <c r="E16" s="597">
        <v>-46.4</v>
      </c>
      <c r="F16" s="597">
        <v>-41.1</v>
      </c>
      <c r="G16" s="598">
        <v>-10.3</v>
      </c>
      <c r="H16" s="611"/>
      <c r="I16" s="590"/>
      <c r="J16" s="590"/>
      <c r="K16" s="590"/>
      <c r="L16" s="590"/>
      <c r="M16" s="590"/>
      <c r="N16" s="590"/>
      <c r="O16" s="590"/>
      <c r="P16" s="590"/>
      <c r="Q16" s="590"/>
      <c r="R16" s="590"/>
      <c r="S16" s="590"/>
      <c r="T16" s="590"/>
      <c r="U16" s="590"/>
      <c r="V16" s="590"/>
    </row>
    <row r="17" spans="1:22">
      <c r="A17" s="590"/>
      <c r="B17" s="598"/>
      <c r="C17" s="627" t="s">
        <v>242</v>
      </c>
      <c r="D17" s="590">
        <v>42.4</v>
      </c>
      <c r="E17" s="590">
        <v>47.6</v>
      </c>
      <c r="F17" s="590">
        <v>50.8</v>
      </c>
      <c r="G17" s="598">
        <v>13.1</v>
      </c>
      <c r="H17" s="611"/>
      <c r="I17" s="590"/>
      <c r="J17" s="590"/>
      <c r="K17" s="590"/>
      <c r="L17" s="590"/>
      <c r="M17" s="590"/>
      <c r="N17" s="590"/>
      <c r="O17" s="590"/>
      <c r="P17" s="590"/>
      <c r="Q17" s="590"/>
      <c r="R17" s="590"/>
      <c r="S17" s="590"/>
      <c r="T17" s="590"/>
      <c r="U17" s="590"/>
      <c r="V17" s="590"/>
    </row>
    <row r="18" spans="1:22">
      <c r="A18" s="590"/>
      <c r="B18" s="598"/>
      <c r="C18" s="627" t="s">
        <v>241</v>
      </c>
      <c r="D18" s="590">
        <v>0</v>
      </c>
      <c r="E18" s="590">
        <v>25</v>
      </c>
      <c r="F18" s="590">
        <v>0</v>
      </c>
      <c r="G18" s="598">
        <v>0</v>
      </c>
      <c r="H18" s="611"/>
      <c r="I18" s="590"/>
      <c r="J18" s="590"/>
      <c r="K18" s="590"/>
      <c r="L18" s="590"/>
      <c r="M18" s="590"/>
      <c r="N18" s="590"/>
      <c r="O18" s="590"/>
      <c r="P18" s="590"/>
      <c r="Q18" s="590"/>
      <c r="R18" s="590"/>
      <c r="S18" s="590"/>
      <c r="T18" s="590"/>
      <c r="U18" s="590"/>
      <c r="V18" s="590"/>
    </row>
    <row r="19" spans="1:22" s="615" customFormat="1">
      <c r="A19" s="590"/>
      <c r="B19" s="598"/>
      <c r="C19" s="628" t="s">
        <v>175</v>
      </c>
      <c r="D19" s="615">
        <v>0</v>
      </c>
      <c r="E19" s="615">
        <v>0</v>
      </c>
      <c r="F19" s="615">
        <v>307.8</v>
      </c>
      <c r="G19" s="608">
        <v>0</v>
      </c>
      <c r="H19" s="611"/>
      <c r="I19" s="590"/>
      <c r="J19" s="590"/>
      <c r="K19" s="590"/>
      <c r="L19" s="590"/>
      <c r="M19" s="590"/>
      <c r="N19" s="590"/>
      <c r="O19" s="590"/>
      <c r="P19" s="590"/>
      <c r="Q19" s="590"/>
      <c r="R19" s="590"/>
      <c r="S19" s="590"/>
      <c r="T19" s="590"/>
      <c r="U19" s="590"/>
      <c r="V19" s="590"/>
    </row>
    <row r="20" spans="1:22" s="631" customFormat="1">
      <c r="A20" s="617"/>
      <c r="B20" s="610"/>
      <c r="C20" s="629" t="s">
        <v>240</v>
      </c>
      <c r="D20" s="617">
        <f>SUM(D15:D19)</f>
        <v>545.4999999999992</v>
      </c>
      <c r="E20" s="617">
        <f>SUM(E15:E19)</f>
        <v>665.20000000000016</v>
      </c>
      <c r="F20" s="617">
        <f>SUM(F15:F19)</f>
        <v>919.09999999999923</v>
      </c>
      <c r="G20" s="610">
        <f>SUM(G15:G19)</f>
        <v>132.9</v>
      </c>
      <c r="H20" s="630"/>
      <c r="I20" s="617"/>
      <c r="J20" s="617"/>
      <c r="K20" s="617">
        <v>2010</v>
      </c>
      <c r="L20" s="617">
        <v>2011</v>
      </c>
      <c r="M20" s="617">
        <v>2012</v>
      </c>
      <c r="N20" s="617">
        <v>2013</v>
      </c>
      <c r="O20" s="617"/>
      <c r="P20" s="617"/>
      <c r="Q20" s="617"/>
      <c r="R20" s="617"/>
      <c r="S20" s="617"/>
      <c r="T20" s="617"/>
      <c r="U20" s="617"/>
      <c r="V20" s="617"/>
    </row>
    <row r="21" spans="1:22" s="615" customFormat="1">
      <c r="A21" s="590"/>
      <c r="B21" s="598"/>
      <c r="C21" s="614" t="s">
        <v>239</v>
      </c>
      <c r="D21" s="615">
        <v>-152.80000000000001</v>
      </c>
      <c r="E21" s="615">
        <v>-175</v>
      </c>
      <c r="F21" s="615">
        <v>-203.7</v>
      </c>
      <c r="G21" s="608">
        <v>-33.700000000000003</v>
      </c>
      <c r="H21" s="611" t="s">
        <v>393</v>
      </c>
      <c r="I21" s="590">
        <v>10725.2</v>
      </c>
      <c r="J21" s="590">
        <v>11196</v>
      </c>
      <c r="K21" s="590">
        <v>11342.9</v>
      </c>
      <c r="L21" s="590">
        <v>11430.6</v>
      </c>
      <c r="M21" s="590">
        <v>11674.9</v>
      </c>
      <c r="N21" s="590">
        <v>11402.8</v>
      </c>
      <c r="O21" s="590">
        <f>I22/(I21/(I23+I24/2))</f>
        <v>16.161712602095996</v>
      </c>
      <c r="P21" s="590">
        <f>J22/(J21/(J23+J24/2))</f>
        <v>15.229523937120398</v>
      </c>
      <c r="Q21" s="590">
        <f>K22/(K21/(K23+K24/2))</f>
        <v>15.098255296264625</v>
      </c>
      <c r="R21" s="590">
        <f>L22/(L21/((L23+L24)/2))</f>
        <v>9.8701293020488858</v>
      </c>
      <c r="S21" s="590">
        <f>M22/(M21/((M23+M24)/2))</f>
        <v>9.8656262580407557</v>
      </c>
      <c r="T21" s="590">
        <f>N22/(N21/((N23+N24)/2))</f>
        <v>10.071846388606307</v>
      </c>
      <c r="U21" s="590"/>
      <c r="V21" s="590"/>
    </row>
    <row r="22" spans="1:22">
      <c r="A22" s="590"/>
      <c r="B22" s="598"/>
      <c r="C22" s="616" t="s">
        <v>238</v>
      </c>
      <c r="D22" s="590">
        <f>SUM(D20:D21)</f>
        <v>392.69999999999919</v>
      </c>
      <c r="E22" s="590">
        <f>SUM(E20:E21)</f>
        <v>490.20000000000016</v>
      </c>
      <c r="F22" s="590">
        <f>SUM(F20:F21)</f>
        <v>715.39999999999918</v>
      </c>
      <c r="G22" s="598">
        <f>SUM(G20:G21)</f>
        <v>99.2</v>
      </c>
      <c r="H22" s="611"/>
      <c r="I22" s="590">
        <v>366</v>
      </c>
      <c r="J22" s="590">
        <v>365</v>
      </c>
      <c r="K22" s="590">
        <v>365</v>
      </c>
      <c r="L22" s="590">
        <v>365</v>
      </c>
      <c r="M22" s="590">
        <v>366</v>
      </c>
      <c r="N22" s="590">
        <v>365</v>
      </c>
      <c r="O22" s="590"/>
      <c r="P22" s="590"/>
      <c r="Q22" s="590"/>
      <c r="R22" s="590"/>
      <c r="S22" s="590"/>
      <c r="T22" s="590"/>
      <c r="U22" s="590"/>
      <c r="V22" s="590"/>
    </row>
    <row r="23" spans="1:22">
      <c r="A23" s="590"/>
      <c r="B23" s="598"/>
      <c r="C23" s="616"/>
      <c r="D23" s="590"/>
      <c r="E23" s="590"/>
      <c r="F23" s="590"/>
      <c r="G23" s="598"/>
      <c r="H23" s="611"/>
      <c r="I23" s="590">
        <v>309.7</v>
      </c>
      <c r="J23" s="587">
        <v>315.8</v>
      </c>
      <c r="K23" s="590">
        <v>311.3</v>
      </c>
      <c r="L23" s="590">
        <v>306.89999999999998</v>
      </c>
      <c r="M23" s="590">
        <v>300.3</v>
      </c>
      <c r="N23" s="590">
        <v>300.2</v>
      </c>
      <c r="O23" s="590"/>
      <c r="P23" s="590"/>
      <c r="Q23" s="590"/>
      <c r="R23" s="590"/>
      <c r="S23" s="590">
        <f>AVERAGE(R21:T21)</f>
        <v>9.9358673162319828</v>
      </c>
      <c r="T23" s="590"/>
      <c r="U23" s="590"/>
      <c r="V23" s="590"/>
    </row>
    <row r="24" spans="1:22">
      <c r="A24" s="590"/>
      <c r="B24" s="598"/>
      <c r="C24" s="632" t="s">
        <v>237</v>
      </c>
      <c r="D24" s="590">
        <v>0</v>
      </c>
      <c r="E24" s="590">
        <v>0</v>
      </c>
      <c r="F24" s="590">
        <v>0</v>
      </c>
      <c r="G24" s="598">
        <v>0</v>
      </c>
      <c r="H24" s="611"/>
      <c r="I24" s="590">
        <v>327.8</v>
      </c>
      <c r="J24" s="611">
        <v>302.7</v>
      </c>
      <c r="K24" s="611">
        <v>315.8</v>
      </c>
      <c r="L24" s="590">
        <v>311.3</v>
      </c>
      <c r="M24" s="590">
        <v>329.1</v>
      </c>
      <c r="N24" s="590">
        <v>329.1</v>
      </c>
      <c r="O24" s="590"/>
      <c r="P24" s="590"/>
      <c r="Q24" s="590"/>
      <c r="R24" s="590"/>
      <c r="S24" s="590"/>
      <c r="T24" s="590"/>
      <c r="U24" s="590"/>
      <c r="V24" s="590"/>
    </row>
    <row r="25" spans="1:22" s="615" customFormat="1">
      <c r="A25" s="590"/>
      <c r="B25" s="598"/>
      <c r="C25" s="633" t="s">
        <v>236</v>
      </c>
      <c r="D25" s="615">
        <v>0</v>
      </c>
      <c r="E25" s="615">
        <v>-0.9</v>
      </c>
      <c r="F25" s="615">
        <v>6.2</v>
      </c>
      <c r="G25" s="608">
        <v>0</v>
      </c>
      <c r="H25" s="611"/>
      <c r="I25" s="590"/>
      <c r="J25" s="611"/>
      <c r="K25" s="611">
        <v>9187.75</v>
      </c>
      <c r="L25" s="590">
        <v>9333.6</v>
      </c>
      <c r="M25" s="590">
        <v>9485.9</v>
      </c>
      <c r="N25" s="590">
        <v>9237</v>
      </c>
      <c r="O25" s="590">
        <f>K22/(K25/((K26+K27)/2))</f>
        <v>13.890479170634812</v>
      </c>
      <c r="P25" s="590">
        <f>L22/(L25/((L26+L27)/2))</f>
        <v>27.913881031970512</v>
      </c>
      <c r="Q25" s="590">
        <f>M22/(M25/((M26+M27)/2))</f>
        <v>29.182692206327282</v>
      </c>
      <c r="R25" s="590">
        <f>N22/(N25/((N26+N27)/2))</f>
        <v>30.934313088665149</v>
      </c>
      <c r="S25" s="590"/>
      <c r="T25" s="590"/>
      <c r="U25" s="590"/>
      <c r="V25" s="590"/>
    </row>
    <row r="26" spans="1:22" ht="14" thickBot="1">
      <c r="A26" s="590"/>
      <c r="B26" s="598"/>
      <c r="C26" s="634" t="s">
        <v>235</v>
      </c>
      <c r="D26" s="635">
        <f>SUM(D22:D25)</f>
        <v>392.69999999999919</v>
      </c>
      <c r="E26" s="635">
        <f>SUM(E22:E25)</f>
        <v>489.30000000000018</v>
      </c>
      <c r="F26" s="635">
        <f>SUM(F22:F25)</f>
        <v>721.59999999999923</v>
      </c>
      <c r="G26" s="636">
        <v>99.2</v>
      </c>
      <c r="H26" s="637" t="s">
        <v>394</v>
      </c>
      <c r="I26" s="637">
        <v>699.3</v>
      </c>
      <c r="J26" s="637"/>
      <c r="K26" s="617">
        <v>699.3</v>
      </c>
      <c r="L26" s="617">
        <v>699.3</v>
      </c>
      <c r="M26" s="617">
        <v>728.3</v>
      </c>
      <c r="N26" s="617">
        <v>784.4</v>
      </c>
      <c r="O26" s="617"/>
      <c r="P26" s="617"/>
      <c r="Q26" s="590"/>
      <c r="R26" s="590">
        <f>AVERAGE(P25:R25)</f>
        <v>29.343628775654313</v>
      </c>
      <c r="S26" s="590"/>
      <c r="T26" s="590"/>
      <c r="U26" s="590"/>
      <c r="V26" s="590"/>
    </row>
    <row r="27" spans="1:22" ht="14" thickTop="1">
      <c r="A27" s="590"/>
      <c r="B27" s="598"/>
      <c r="C27" s="634"/>
      <c r="D27" s="590"/>
      <c r="E27" s="590"/>
      <c r="F27" s="590"/>
      <c r="G27" s="610"/>
      <c r="H27" s="637"/>
      <c r="I27" s="590">
        <v>681.2</v>
      </c>
      <c r="J27" s="590"/>
      <c r="K27" s="590"/>
      <c r="L27" s="590">
        <v>728.3</v>
      </c>
      <c r="M27" s="590">
        <v>784.4</v>
      </c>
      <c r="N27" s="590">
        <v>781.3</v>
      </c>
      <c r="O27" s="590">
        <f>L22/(L25/((L28+L29)/2))</f>
        <v>41.731995157281226</v>
      </c>
      <c r="P27" s="590">
        <f>M22/(M25/((M28+M29)/2))</f>
        <v>41.438767012091631</v>
      </c>
      <c r="Q27" s="590">
        <f>N22/(N25/((N28+N29)/2))</f>
        <v>41.328732272382815</v>
      </c>
      <c r="R27" s="587">
        <f>AVERAGE(O27:Q27)</f>
        <v>41.499831480585222</v>
      </c>
    </row>
    <row r="28" spans="1:22">
      <c r="A28" s="590"/>
      <c r="B28" s="598"/>
      <c r="C28" s="634" t="s">
        <v>234</v>
      </c>
      <c r="D28" s="590"/>
      <c r="E28" s="590"/>
      <c r="F28" s="590"/>
      <c r="G28" s="598"/>
      <c r="H28" s="587" t="s">
        <v>395</v>
      </c>
      <c r="L28" s="638">
        <v>1073.3</v>
      </c>
      <c r="M28" s="590">
        <v>1061.0999999999999</v>
      </c>
      <c r="N28" s="590">
        <v>1086.9000000000001</v>
      </c>
      <c r="O28" s="590"/>
      <c r="P28" s="590"/>
      <c r="Q28" s="590"/>
    </row>
    <row r="29" spans="1:22">
      <c r="A29" s="590"/>
      <c r="B29" s="598"/>
      <c r="C29" s="616" t="s">
        <v>233</v>
      </c>
      <c r="D29" s="590"/>
      <c r="E29" s="590"/>
      <c r="F29" s="590"/>
      <c r="G29" s="598"/>
      <c r="H29" s="611"/>
      <c r="I29" s="611"/>
      <c r="J29" s="611"/>
      <c r="L29" s="638">
        <v>1061</v>
      </c>
      <c r="M29" s="590">
        <v>1086.9000000000001</v>
      </c>
      <c r="N29" s="590">
        <v>1004.9</v>
      </c>
      <c r="O29" s="590"/>
      <c r="P29" s="590"/>
      <c r="Q29" s="590"/>
    </row>
    <row r="30" spans="1:22">
      <c r="A30" s="590"/>
      <c r="B30" s="598"/>
      <c r="C30" s="613" t="s">
        <v>231</v>
      </c>
      <c r="D30" s="590">
        <v>3.81</v>
      </c>
      <c r="E30" s="590">
        <v>4.87</v>
      </c>
      <c r="F30" s="590">
        <v>7.52</v>
      </c>
      <c r="G30" s="598">
        <v>1.07</v>
      </c>
      <c r="H30" s="611"/>
      <c r="I30" s="611"/>
      <c r="J30" s="611"/>
      <c r="K30" s="590"/>
      <c r="L30" s="590"/>
      <c r="M30" s="590"/>
      <c r="N30" s="590"/>
      <c r="O30" s="590"/>
      <c r="P30" s="590"/>
      <c r="Q30" s="590"/>
    </row>
    <row r="31" spans="1:22">
      <c r="A31" s="590"/>
      <c r="B31" s="598"/>
      <c r="C31" s="613" t="s">
        <v>230</v>
      </c>
      <c r="D31" s="590">
        <v>3.79</v>
      </c>
      <c r="E31" s="590">
        <v>4.84</v>
      </c>
      <c r="F31" s="590">
        <v>7.46</v>
      </c>
      <c r="G31" s="598">
        <v>1.06</v>
      </c>
      <c r="H31" s="611"/>
      <c r="I31" s="611"/>
      <c r="J31" s="611"/>
      <c r="K31" s="590"/>
      <c r="L31" s="590"/>
      <c r="M31" s="590"/>
      <c r="N31" s="590"/>
      <c r="O31" s="590"/>
      <c r="P31" s="590"/>
      <c r="Q31" s="590"/>
    </row>
    <row r="32" spans="1:22">
      <c r="A32" s="590"/>
      <c r="B32" s="598"/>
      <c r="C32" s="616" t="s">
        <v>232</v>
      </c>
      <c r="D32" s="590"/>
      <c r="E32" s="590"/>
      <c r="F32" s="590"/>
      <c r="G32" s="598"/>
      <c r="H32" s="611"/>
      <c r="I32" s="611"/>
      <c r="J32" s="611"/>
      <c r="K32" s="590"/>
      <c r="L32" s="590"/>
      <c r="M32" s="590"/>
      <c r="N32" s="590"/>
      <c r="O32" s="590"/>
      <c r="P32" s="590"/>
      <c r="Q32" s="590"/>
    </row>
    <row r="33" spans="1:19">
      <c r="A33" s="590"/>
      <c r="B33" s="598"/>
      <c r="C33" s="639" t="s">
        <v>231</v>
      </c>
      <c r="D33" s="640">
        <v>3.81</v>
      </c>
      <c r="E33" s="590">
        <v>4.88</v>
      </c>
      <c r="F33" s="590">
        <v>7.46</v>
      </c>
      <c r="G33" s="598">
        <v>1.07</v>
      </c>
      <c r="H33" s="611"/>
      <c r="I33" s="611"/>
      <c r="J33" s="611"/>
      <c r="K33" s="590"/>
      <c r="L33" s="590"/>
      <c r="M33" s="590"/>
      <c r="N33" s="590"/>
      <c r="O33" s="590"/>
      <c r="P33" s="590"/>
      <c r="Q33" s="590"/>
    </row>
    <row r="34" spans="1:19" s="590" customFormat="1">
      <c r="C34" s="641" t="s">
        <v>230</v>
      </c>
      <c r="D34" s="640">
        <v>3.79</v>
      </c>
      <c r="E34" s="590">
        <v>4.8499999999999996</v>
      </c>
      <c r="F34" s="590">
        <v>7.4</v>
      </c>
      <c r="G34" s="598">
        <v>1.06</v>
      </c>
      <c r="H34" s="611"/>
      <c r="I34" s="611"/>
      <c r="J34" s="611"/>
      <c r="P34" s="590">
        <f>11342.9*0.81</f>
        <v>9187.7489999999998</v>
      </c>
    </row>
    <row r="35" spans="1:19" s="590" customFormat="1">
      <c r="C35" s="641"/>
      <c r="D35" s="640"/>
      <c r="G35" s="598"/>
      <c r="H35" s="611"/>
      <c r="I35" s="611">
        <f>391.8/((D88+E88)/2)</f>
        <v>7.8532772098616963E-2</v>
      </c>
      <c r="J35" s="611"/>
    </row>
    <row r="36" spans="1:19" s="615" customFormat="1">
      <c r="A36" s="590"/>
      <c r="B36" s="598"/>
      <c r="C36" s="615" t="s">
        <v>229</v>
      </c>
      <c r="D36" s="642">
        <v>0.74750000000000005</v>
      </c>
      <c r="E36" s="643">
        <v>0.83750000000000002</v>
      </c>
      <c r="F36" s="643">
        <v>0.96499999999999997</v>
      </c>
      <c r="G36" s="608">
        <v>0.3</v>
      </c>
      <c r="H36" s="611"/>
      <c r="I36" s="611"/>
      <c r="J36" s="611"/>
      <c r="K36" s="590"/>
    </row>
    <row r="37" spans="1:19" ht="15" customHeight="1" thickBot="1">
      <c r="C37" s="600"/>
      <c r="D37" s="644"/>
      <c r="E37" s="644"/>
      <c r="F37" s="644"/>
      <c r="G37" s="645"/>
      <c r="H37" s="606"/>
      <c r="I37" s="606"/>
      <c r="J37" s="606"/>
      <c r="K37" s="606"/>
      <c r="L37" s="606"/>
      <c r="M37" s="606"/>
      <c r="N37" s="606"/>
      <c r="O37" s="606"/>
      <c r="P37" s="606"/>
      <c r="Q37" s="590"/>
    </row>
    <row r="38" spans="1:19" ht="15" customHeight="1">
      <c r="C38" s="590"/>
      <c r="D38" s="604"/>
      <c r="E38" s="604"/>
      <c r="F38" s="604"/>
      <c r="G38" s="605"/>
      <c r="H38" s="606"/>
      <c r="I38" s="606"/>
      <c r="J38" s="606"/>
      <c r="K38" s="590"/>
      <c r="L38" s="590"/>
      <c r="M38" s="590"/>
      <c r="N38" s="590"/>
      <c r="O38" s="590"/>
      <c r="P38" s="590"/>
      <c r="Q38" s="590"/>
    </row>
    <row r="39" spans="1:19">
      <c r="C39" s="646" t="s">
        <v>228</v>
      </c>
      <c r="F39" s="590"/>
      <c r="G39" s="608"/>
      <c r="H39" s="590"/>
      <c r="I39" s="590"/>
      <c r="J39" s="590"/>
      <c r="K39" s="590"/>
      <c r="L39" s="590"/>
      <c r="M39" s="590"/>
      <c r="N39" s="590"/>
      <c r="O39" s="590"/>
      <c r="P39" s="590"/>
      <c r="Q39" s="590"/>
    </row>
    <row r="40" spans="1:19">
      <c r="C40" s="647" t="s">
        <v>74</v>
      </c>
      <c r="D40" s="648"/>
      <c r="E40" s="648"/>
      <c r="F40" s="649"/>
      <c r="G40" s="650"/>
      <c r="H40" s="590"/>
      <c r="I40" s="590"/>
      <c r="J40" s="590"/>
      <c r="K40" s="590"/>
      <c r="L40" s="590"/>
      <c r="M40" s="590"/>
      <c r="N40" s="590"/>
      <c r="O40" s="590">
        <v>9</v>
      </c>
      <c r="P40" s="590">
        <v>10</v>
      </c>
      <c r="Q40" s="590">
        <v>11</v>
      </c>
      <c r="R40" s="587">
        <v>12</v>
      </c>
      <c r="S40" s="587">
        <v>13</v>
      </c>
    </row>
    <row r="41" spans="1:19">
      <c r="C41" s="651" t="s">
        <v>227</v>
      </c>
      <c r="D41" s="640"/>
      <c r="E41" s="640"/>
      <c r="F41" s="652"/>
      <c r="G41" s="598"/>
      <c r="H41" s="590"/>
      <c r="I41" s="590"/>
      <c r="J41" s="590"/>
      <c r="K41" s="590"/>
      <c r="L41" s="590"/>
      <c r="M41" s="590"/>
      <c r="N41" s="590"/>
      <c r="O41" s="590">
        <f>0.5375/3.19</f>
        <v>0.16849529780564262</v>
      </c>
      <c r="P41" s="590"/>
      <c r="Q41" s="590"/>
    </row>
    <row r="42" spans="1:19">
      <c r="C42" s="653" t="s">
        <v>226</v>
      </c>
      <c r="D42" s="640">
        <v>255.5</v>
      </c>
      <c r="E42" s="640">
        <v>73.3</v>
      </c>
      <c r="F42" s="652">
        <v>80.8</v>
      </c>
      <c r="G42" s="598">
        <v>55.3</v>
      </c>
      <c r="H42" s="611"/>
      <c r="I42" s="611"/>
      <c r="J42" s="611"/>
      <c r="K42" s="590"/>
      <c r="L42" s="590"/>
      <c r="M42" s="590"/>
      <c r="N42" s="590"/>
      <c r="O42" s="590">
        <v>16.399999999999999</v>
      </c>
      <c r="P42" s="590"/>
      <c r="Q42" s="590"/>
    </row>
    <row r="43" spans="1:19">
      <c r="C43" s="653" t="s">
        <v>24</v>
      </c>
      <c r="D43" s="640">
        <v>300.3</v>
      </c>
      <c r="E43" s="640">
        <v>329.1</v>
      </c>
      <c r="F43" s="652">
        <v>300.2</v>
      </c>
      <c r="G43" s="598">
        <v>306.39999999999998</v>
      </c>
      <c r="H43" s="611"/>
      <c r="I43" s="611"/>
      <c r="J43" s="611"/>
      <c r="K43" s="590"/>
      <c r="L43" s="590"/>
      <c r="M43" s="590"/>
      <c r="N43" s="590"/>
      <c r="O43" s="590"/>
      <c r="P43" s="590"/>
      <c r="Q43" s="590"/>
    </row>
    <row r="44" spans="1:19">
      <c r="C44" s="653" t="s">
        <v>225</v>
      </c>
      <c r="D44" s="640">
        <v>728.3</v>
      </c>
      <c r="E44" s="640">
        <v>784.4</v>
      </c>
      <c r="F44" s="652">
        <v>781.3</v>
      </c>
      <c r="G44" s="598">
        <v>875.6</v>
      </c>
      <c r="H44" s="611"/>
      <c r="I44" s="611"/>
      <c r="J44" s="611"/>
      <c r="K44" s="590"/>
      <c r="L44" s="590"/>
      <c r="M44" s="590"/>
      <c r="N44" s="590"/>
      <c r="O44" s="590"/>
      <c r="P44" s="590"/>
      <c r="Q44" s="590"/>
    </row>
    <row r="45" spans="1:19">
      <c r="C45" s="653" t="s">
        <v>224</v>
      </c>
      <c r="D45" s="640">
        <v>11.7</v>
      </c>
      <c r="E45" s="640">
        <v>6.6</v>
      </c>
      <c r="F45" s="652">
        <v>15.3</v>
      </c>
      <c r="G45" s="598">
        <v>20.7</v>
      </c>
      <c r="H45" s="611"/>
      <c r="I45" s="611"/>
      <c r="J45" s="611"/>
      <c r="K45" s="590"/>
      <c r="L45" s="590"/>
      <c r="M45" s="590"/>
      <c r="N45" s="590"/>
      <c r="O45" s="590"/>
      <c r="P45" s="590"/>
      <c r="Q45" s="590"/>
    </row>
    <row r="46" spans="1:19">
      <c r="C46" s="653" t="s">
        <v>223</v>
      </c>
      <c r="D46" s="640">
        <v>2.2000000000000002</v>
      </c>
      <c r="E46" s="640">
        <v>13.9</v>
      </c>
      <c r="F46" s="652">
        <v>10.9</v>
      </c>
      <c r="G46" s="608">
        <v>12.2</v>
      </c>
      <c r="H46" s="611"/>
      <c r="I46" s="611"/>
      <c r="J46" s="611"/>
      <c r="K46" s="590"/>
      <c r="L46" s="590"/>
      <c r="M46" s="590"/>
      <c r="N46" s="590"/>
      <c r="O46" s="590"/>
      <c r="P46" s="590"/>
      <c r="Q46" s="590"/>
    </row>
    <row r="47" spans="1:19">
      <c r="C47" s="640"/>
      <c r="D47" s="648">
        <f>SUM(D42:D46)</f>
        <v>1298</v>
      </c>
      <c r="E47" s="648">
        <f>SUM(E42:E46)</f>
        <v>1207.3</v>
      </c>
      <c r="F47" s="649">
        <f>SUM(F42:F46)</f>
        <v>1188.5</v>
      </c>
      <c r="G47" s="598">
        <f>SUM(G42:G46)</f>
        <v>1270.2</v>
      </c>
      <c r="H47" s="590"/>
      <c r="I47" s="590"/>
      <c r="J47" s="590"/>
      <c r="K47" s="590"/>
      <c r="L47" s="590"/>
      <c r="M47" s="590"/>
      <c r="N47" s="590"/>
      <c r="O47" s="590"/>
      <c r="P47" s="590"/>
      <c r="Q47" s="590"/>
    </row>
    <row r="48" spans="1:19">
      <c r="C48" s="640" t="s">
        <v>222</v>
      </c>
      <c r="D48" s="640">
        <v>6.6</v>
      </c>
      <c r="E48" s="640">
        <v>0.6</v>
      </c>
      <c r="F48" s="652">
        <v>0.9</v>
      </c>
      <c r="G48" s="598">
        <v>6.1</v>
      </c>
      <c r="H48" s="590"/>
      <c r="I48" s="590"/>
      <c r="J48" s="590"/>
      <c r="K48" s="590"/>
      <c r="L48" s="590"/>
      <c r="M48" s="590"/>
      <c r="N48" s="590"/>
      <c r="O48" s="590"/>
      <c r="P48" s="590"/>
      <c r="Q48" s="590"/>
    </row>
    <row r="49" spans="3:19">
      <c r="C49" s="640" t="s">
        <v>221</v>
      </c>
      <c r="D49" s="640">
        <f>SUM(D47:D48)</f>
        <v>1304.5999999999999</v>
      </c>
      <c r="E49" s="640">
        <f>SUM(E47:E48)</f>
        <v>1207.8999999999999</v>
      </c>
      <c r="F49" s="652">
        <f>SUM(F47:F48)</f>
        <v>1189.4000000000001</v>
      </c>
      <c r="G49" s="598">
        <f>SUM(G47:G48)</f>
        <v>1276.3</v>
      </c>
      <c r="H49" s="590"/>
      <c r="I49" s="590"/>
      <c r="J49" s="590"/>
      <c r="K49" s="590"/>
      <c r="L49" s="590"/>
      <c r="M49" s="590"/>
      <c r="N49" s="590"/>
      <c r="O49" s="590"/>
      <c r="P49" s="590"/>
      <c r="Q49" s="590"/>
    </row>
    <row r="50" spans="3:19">
      <c r="C50" s="640"/>
      <c r="D50" s="640"/>
      <c r="E50" s="640"/>
      <c r="F50" s="652"/>
      <c r="G50" s="598"/>
      <c r="H50" s="590"/>
      <c r="I50" s="590"/>
      <c r="J50" s="590"/>
      <c r="K50" s="590"/>
      <c r="L50" s="590"/>
      <c r="M50" s="590"/>
      <c r="N50" s="590"/>
      <c r="O50" s="590"/>
      <c r="P50" s="590"/>
      <c r="Q50" s="590"/>
    </row>
    <row r="51" spans="3:19">
      <c r="C51" s="640" t="s">
        <v>220</v>
      </c>
      <c r="D51" s="640"/>
      <c r="E51" s="640"/>
      <c r="F51" s="652"/>
      <c r="G51" s="598"/>
      <c r="H51" s="590"/>
      <c r="I51" s="590"/>
      <c r="J51" s="590"/>
      <c r="K51" s="590"/>
      <c r="L51" s="590"/>
      <c r="M51" s="590"/>
      <c r="N51" s="590"/>
      <c r="O51" s="590"/>
      <c r="P51" s="590"/>
      <c r="Q51" s="590"/>
    </row>
    <row r="52" spans="3:19">
      <c r="C52" s="641" t="s">
        <v>219</v>
      </c>
      <c r="D52" s="640">
        <v>258.7</v>
      </c>
      <c r="E52" s="640">
        <v>324.5</v>
      </c>
      <c r="F52" s="652">
        <v>206.4</v>
      </c>
      <c r="G52" s="598">
        <v>218.5</v>
      </c>
      <c r="H52" s="611"/>
      <c r="I52" s="611"/>
      <c r="J52" s="611"/>
      <c r="K52" s="590"/>
      <c r="L52" s="590"/>
      <c r="M52" s="590"/>
      <c r="N52" s="590"/>
      <c r="O52" s="590"/>
      <c r="P52" s="590"/>
      <c r="Q52" s="590"/>
    </row>
    <row r="53" spans="3:19">
      <c r="C53" s="641" t="s">
        <v>218</v>
      </c>
      <c r="D53" s="640">
        <v>17</v>
      </c>
      <c r="E53" s="640">
        <v>25.8</v>
      </c>
      <c r="F53" s="652">
        <v>27.5</v>
      </c>
      <c r="G53" s="598">
        <v>28.3</v>
      </c>
      <c r="H53" s="611"/>
      <c r="I53" s="611"/>
      <c r="J53" s="611"/>
      <c r="K53" s="590"/>
      <c r="L53" s="590"/>
      <c r="M53" s="590"/>
      <c r="N53" s="590"/>
      <c r="O53" s="590"/>
      <c r="P53" s="590"/>
      <c r="Q53" s="590"/>
      <c r="S53" s="587">
        <f>354/2264</f>
        <v>0.15636042402826855</v>
      </c>
    </row>
    <row r="54" spans="3:19">
      <c r="C54" s="641" t="s">
        <v>217</v>
      </c>
      <c r="D54" s="640">
        <v>1226.0999999999999</v>
      </c>
      <c r="E54" s="640">
        <v>1280.3</v>
      </c>
      <c r="F54" s="652">
        <v>1328.4</v>
      </c>
      <c r="G54" s="598">
        <v>1328.9</v>
      </c>
      <c r="H54" s="611"/>
      <c r="I54" s="611"/>
      <c r="J54" s="611"/>
      <c r="K54" s="590"/>
      <c r="L54" s="590"/>
      <c r="M54" s="590"/>
      <c r="N54" s="590"/>
      <c r="O54" s="590"/>
      <c r="P54" s="590"/>
      <c r="Q54" s="590"/>
    </row>
    <row r="55" spans="3:19">
      <c r="C55" s="641" t="s">
        <v>216</v>
      </c>
      <c r="D55" s="640">
        <v>27</v>
      </c>
      <c r="E55" s="640">
        <v>22.1</v>
      </c>
      <c r="F55" s="652">
        <v>20.7</v>
      </c>
      <c r="G55" s="598">
        <v>20.7</v>
      </c>
      <c r="H55" s="611"/>
      <c r="I55" s="611"/>
      <c r="J55" s="611"/>
      <c r="K55" s="590"/>
      <c r="L55" s="590"/>
      <c r="M55" s="590"/>
      <c r="N55" s="590"/>
      <c r="O55" s="590"/>
      <c r="P55" s="590"/>
      <c r="Q55" s="590"/>
    </row>
    <row r="56" spans="3:19">
      <c r="C56" s="641" t="s">
        <v>215</v>
      </c>
      <c r="D56" s="640">
        <v>297.2</v>
      </c>
      <c r="E56" s="640">
        <v>373.1</v>
      </c>
      <c r="F56" s="652">
        <v>365.1</v>
      </c>
      <c r="G56" s="598">
        <v>360.3</v>
      </c>
      <c r="H56" s="611"/>
      <c r="I56" s="611"/>
      <c r="J56" s="611"/>
      <c r="K56" s="590"/>
      <c r="L56" s="590"/>
      <c r="M56" s="590"/>
      <c r="N56" s="590"/>
      <c r="O56" s="590"/>
      <c r="P56" s="590"/>
      <c r="Q56" s="590"/>
    </row>
    <row r="57" spans="3:19">
      <c r="C57" s="641" t="s">
        <v>214</v>
      </c>
      <c r="D57" s="640">
        <v>1649.1</v>
      </c>
      <c r="E57" s="640">
        <v>1859.5</v>
      </c>
      <c r="F57" s="652">
        <v>1855.6</v>
      </c>
      <c r="G57" s="598">
        <v>1855.6</v>
      </c>
      <c r="H57" s="611"/>
      <c r="I57" s="611"/>
      <c r="J57" s="611"/>
      <c r="K57" s="590"/>
      <c r="L57" s="590"/>
      <c r="M57" s="590"/>
      <c r="N57" s="590"/>
      <c r="O57" s="590"/>
      <c r="P57" s="590"/>
      <c r="Q57" s="590"/>
    </row>
    <row r="58" spans="3:19">
      <c r="C58" s="641" t="s">
        <v>213</v>
      </c>
      <c r="D58" s="640">
        <v>45.8</v>
      </c>
      <c r="E58" s="640">
        <v>56.3</v>
      </c>
      <c r="F58" s="652">
        <v>53.9</v>
      </c>
      <c r="G58" s="598">
        <v>45.2</v>
      </c>
      <c r="H58" s="611"/>
      <c r="I58" s="611"/>
      <c r="J58" s="611"/>
      <c r="K58" s="590"/>
      <c r="L58" s="590"/>
      <c r="M58" s="590"/>
      <c r="N58" s="590"/>
      <c r="O58" s="590"/>
      <c r="P58" s="590"/>
      <c r="Q58" s="590"/>
    </row>
    <row r="59" spans="3:19">
      <c r="C59" s="641" t="s">
        <v>212</v>
      </c>
      <c r="D59" s="654">
        <v>1.6</v>
      </c>
      <c r="E59" s="654">
        <v>1.4</v>
      </c>
      <c r="F59" s="655">
        <v>14.5</v>
      </c>
      <c r="G59" s="608">
        <v>31.6</v>
      </c>
      <c r="H59" s="611"/>
      <c r="I59" s="611"/>
      <c r="J59" s="611"/>
      <c r="K59" s="590"/>
      <c r="L59" s="590"/>
      <c r="M59" s="590"/>
      <c r="N59" s="590"/>
      <c r="O59" s="590"/>
      <c r="P59" s="590"/>
      <c r="Q59" s="590"/>
    </row>
    <row r="60" spans="3:19">
      <c r="C60" s="656" t="s">
        <v>211</v>
      </c>
      <c r="D60" s="657">
        <f>SUM(D49,D52:D59)</f>
        <v>4827.0999999999995</v>
      </c>
      <c r="E60" s="657">
        <f>SUM(E49,E52:E59)</f>
        <v>5150.8999999999996</v>
      </c>
      <c r="F60" s="658">
        <f>SUM(F49,F52:F59)</f>
        <v>5061.5</v>
      </c>
      <c r="G60" s="659">
        <f>SUM(G49:G59)</f>
        <v>5165.4000000000005</v>
      </c>
      <c r="H60" s="617"/>
      <c r="I60" s="617"/>
      <c r="J60" s="617"/>
      <c r="K60" s="617"/>
      <c r="L60" s="617"/>
      <c r="M60" s="617"/>
      <c r="N60" s="617"/>
      <c r="O60" s="617"/>
      <c r="P60" s="617"/>
      <c r="Q60" s="590"/>
    </row>
    <row r="61" spans="3:19">
      <c r="C61" s="656"/>
      <c r="D61" s="648"/>
      <c r="E61" s="648"/>
      <c r="F61" s="649"/>
      <c r="G61" s="598"/>
      <c r="H61" s="590"/>
      <c r="I61" s="590"/>
      <c r="J61" s="590"/>
      <c r="K61" s="590"/>
      <c r="L61" s="590"/>
      <c r="M61" s="590"/>
      <c r="N61" s="590"/>
      <c r="O61" s="590"/>
      <c r="P61" s="590"/>
      <c r="Q61" s="590"/>
    </row>
    <row r="62" spans="3:19">
      <c r="C62" s="656" t="s">
        <v>210</v>
      </c>
      <c r="D62" s="640"/>
      <c r="E62" s="640"/>
      <c r="F62" s="652"/>
      <c r="G62" s="598"/>
      <c r="H62" s="590"/>
      <c r="I62" s="590"/>
      <c r="J62" s="590"/>
      <c r="K62" s="590"/>
      <c r="L62" s="590"/>
      <c r="M62" s="590"/>
      <c r="N62" s="590"/>
      <c r="O62" s="590"/>
      <c r="P62" s="590"/>
      <c r="Q62" s="590"/>
    </row>
    <row r="63" spans="3:19">
      <c r="C63" s="660" t="s">
        <v>209</v>
      </c>
      <c r="D63" s="640"/>
      <c r="E63" s="640"/>
      <c r="F63" s="652"/>
      <c r="G63" s="598"/>
      <c r="H63" s="590"/>
      <c r="I63" s="590"/>
      <c r="J63" s="590"/>
      <c r="K63" s="590"/>
      <c r="L63" s="590"/>
      <c r="M63" s="590"/>
      <c r="N63" s="590"/>
      <c r="O63" s="590"/>
      <c r="P63" s="590"/>
      <c r="Q63" s="590"/>
    </row>
    <row r="64" spans="3:19">
      <c r="C64" s="653" t="s">
        <v>208</v>
      </c>
      <c r="D64" s="640">
        <v>0.3</v>
      </c>
      <c r="E64" s="640">
        <v>0.3</v>
      </c>
      <c r="F64" s="652">
        <v>2</v>
      </c>
      <c r="G64" s="598">
        <v>5.4</v>
      </c>
      <c r="H64" s="611"/>
      <c r="I64" s="611"/>
      <c r="J64" s="611"/>
      <c r="K64" s="590"/>
      <c r="L64" s="590"/>
      <c r="M64" s="590"/>
      <c r="N64" s="590"/>
      <c r="O64" s="590"/>
      <c r="P64" s="590"/>
      <c r="Q64" s="590"/>
    </row>
    <row r="65" spans="3:17">
      <c r="C65" s="653" t="s">
        <v>207</v>
      </c>
      <c r="D65" s="640">
        <v>1061.0999999999999</v>
      </c>
      <c r="E65" s="640">
        <v>1086.9000000000001</v>
      </c>
      <c r="F65" s="652">
        <v>1004.9</v>
      </c>
      <c r="G65" s="598">
        <v>1084.9000000000001</v>
      </c>
      <c r="H65" s="611"/>
      <c r="I65" s="611"/>
      <c r="J65" s="611"/>
      <c r="K65" s="590"/>
      <c r="L65" s="590"/>
      <c r="M65" s="590"/>
      <c r="N65" s="590"/>
      <c r="O65" s="590"/>
      <c r="P65" s="590"/>
      <c r="Q65" s="590"/>
    </row>
    <row r="66" spans="3:17">
      <c r="C66" s="653" t="s">
        <v>206</v>
      </c>
      <c r="D66" s="640">
        <v>46.2</v>
      </c>
      <c r="E66" s="640">
        <v>60.5</v>
      </c>
      <c r="F66" s="652">
        <v>147.30000000000001</v>
      </c>
      <c r="G66" s="598">
        <v>67.400000000000006</v>
      </c>
      <c r="H66" s="611"/>
      <c r="I66" s="611"/>
      <c r="J66" s="611"/>
      <c r="K66" s="590"/>
      <c r="L66" s="590"/>
      <c r="M66" s="590"/>
      <c r="N66" s="590"/>
      <c r="O66" s="590"/>
      <c r="P66" s="590"/>
      <c r="Q66" s="590"/>
    </row>
    <row r="67" spans="3:17">
      <c r="C67" s="653" t="s">
        <v>200</v>
      </c>
      <c r="D67" s="640">
        <v>17.3</v>
      </c>
      <c r="E67" s="640">
        <v>11.2</v>
      </c>
      <c r="F67" s="652">
        <v>39.700000000000003</v>
      </c>
      <c r="G67" s="598">
        <v>32.700000000000003</v>
      </c>
      <c r="H67" s="611"/>
      <c r="I67" s="611"/>
      <c r="J67" s="611"/>
      <c r="K67" s="590"/>
      <c r="L67" s="590"/>
      <c r="M67" s="590"/>
      <c r="N67" s="590"/>
      <c r="O67" s="590"/>
      <c r="P67" s="590"/>
      <c r="Q67" s="590"/>
    </row>
    <row r="68" spans="3:17">
      <c r="C68" s="661" t="s">
        <v>205</v>
      </c>
      <c r="D68" s="640">
        <v>378.1</v>
      </c>
      <c r="E68" s="640">
        <v>12.1</v>
      </c>
      <c r="F68" s="652">
        <v>12.4</v>
      </c>
      <c r="G68" s="598">
        <v>9</v>
      </c>
      <c r="H68" s="611"/>
      <c r="I68" s="611"/>
      <c r="J68" s="611"/>
      <c r="K68" s="590"/>
      <c r="L68" s="590"/>
      <c r="M68" s="590"/>
      <c r="N68" s="590"/>
      <c r="O68" s="590"/>
      <c r="P68" s="590"/>
      <c r="Q68" s="590"/>
    </row>
    <row r="69" spans="3:17">
      <c r="C69" s="640" t="s">
        <v>204</v>
      </c>
      <c r="D69" s="640">
        <f>SUM(D64:D68)</f>
        <v>1503</v>
      </c>
      <c r="E69" s="640">
        <f>SUM(E64:E68)</f>
        <v>1171</v>
      </c>
      <c r="F69" s="652">
        <f>SUM(F64:F68)</f>
        <v>1206.3000000000002</v>
      </c>
      <c r="G69" s="598">
        <f>SUM(G64:G68)</f>
        <v>1199.4000000000003</v>
      </c>
      <c r="H69" s="590"/>
      <c r="I69" s="590"/>
      <c r="J69" s="590"/>
      <c r="K69" s="590"/>
      <c r="L69" s="590"/>
      <c r="M69" s="590"/>
      <c r="N69" s="590"/>
      <c r="O69" s="590"/>
      <c r="P69" s="590"/>
      <c r="Q69" s="590"/>
    </row>
    <row r="70" spans="3:17">
      <c r="C70" s="640" t="s">
        <v>203</v>
      </c>
      <c r="D70" s="640"/>
      <c r="E70" s="640"/>
      <c r="F70" s="652"/>
      <c r="G70" s="598"/>
      <c r="H70" s="590"/>
      <c r="I70" s="590"/>
      <c r="J70" s="590"/>
      <c r="K70" s="590"/>
      <c r="L70" s="590"/>
      <c r="M70" s="590"/>
      <c r="N70" s="590"/>
      <c r="O70" s="590"/>
      <c r="P70" s="590"/>
      <c r="Q70" s="590"/>
    </row>
    <row r="71" spans="3:17">
      <c r="C71" s="641" t="s">
        <v>202</v>
      </c>
      <c r="D71" s="640">
        <v>656.2</v>
      </c>
      <c r="E71" s="640">
        <v>973.9</v>
      </c>
      <c r="F71" s="652">
        <v>650</v>
      </c>
      <c r="G71" s="598">
        <v>804.4</v>
      </c>
      <c r="H71" s="611"/>
      <c r="I71" s="611"/>
      <c r="J71" s="611"/>
      <c r="K71" s="590"/>
      <c r="L71" s="590"/>
      <c r="M71" s="590"/>
      <c r="N71" s="590"/>
      <c r="O71" s="590"/>
      <c r="P71" s="590"/>
      <c r="Q71" s="590"/>
    </row>
    <row r="72" spans="3:17">
      <c r="C72" s="641" t="s">
        <v>201</v>
      </c>
      <c r="D72" s="640">
        <v>132.19999999999999</v>
      </c>
      <c r="E72" s="640">
        <v>156.9</v>
      </c>
      <c r="F72" s="652">
        <v>69.8</v>
      </c>
      <c r="G72" s="598">
        <v>59.8</v>
      </c>
      <c r="H72" s="611"/>
      <c r="I72" s="611"/>
      <c r="J72" s="611"/>
      <c r="K72" s="590"/>
      <c r="L72" s="590"/>
      <c r="M72" s="590"/>
      <c r="N72" s="590"/>
      <c r="O72" s="590"/>
      <c r="P72" s="590"/>
      <c r="Q72" s="590"/>
    </row>
    <row r="73" spans="3:17">
      <c r="C73" s="641" t="s">
        <v>200</v>
      </c>
      <c r="D73" s="640">
        <v>4</v>
      </c>
      <c r="E73" s="640">
        <v>3.1</v>
      </c>
      <c r="F73" s="652">
        <v>4.5</v>
      </c>
      <c r="G73" s="598">
        <v>5</v>
      </c>
      <c r="H73" s="611"/>
      <c r="I73" s="611"/>
      <c r="J73" s="611"/>
      <c r="K73" s="590"/>
      <c r="L73" s="590"/>
      <c r="M73" s="590"/>
      <c r="N73" s="590"/>
      <c r="O73" s="590"/>
      <c r="P73" s="590"/>
      <c r="Q73" s="590"/>
    </row>
    <row r="74" spans="3:17">
      <c r="C74" s="641" t="s">
        <v>199</v>
      </c>
      <c r="D74" s="640">
        <v>119</v>
      </c>
      <c r="E74" s="640">
        <v>147.69999999999999</v>
      </c>
      <c r="F74" s="652">
        <v>148.9</v>
      </c>
      <c r="G74" s="598">
        <v>151.5</v>
      </c>
      <c r="H74" s="611"/>
      <c r="I74" s="611"/>
      <c r="J74" s="611"/>
      <c r="K74" s="590"/>
      <c r="L74" s="590"/>
      <c r="M74" s="590"/>
      <c r="N74" s="590"/>
      <c r="O74" s="590"/>
      <c r="P74" s="590"/>
      <c r="Q74" s="590"/>
    </row>
    <row r="75" spans="3:17">
      <c r="C75" s="641" t="s">
        <v>198</v>
      </c>
      <c r="D75" s="640">
        <v>13.4</v>
      </c>
      <c r="E75" s="640">
        <v>13.9</v>
      </c>
      <c r="F75" s="652">
        <v>14.1</v>
      </c>
      <c r="G75" s="598">
        <v>13.4</v>
      </c>
      <c r="H75" s="611"/>
      <c r="I75" s="611"/>
      <c r="J75" s="611"/>
      <c r="K75" s="590"/>
      <c r="L75" s="590"/>
      <c r="M75" s="590"/>
      <c r="N75" s="590"/>
      <c r="O75" s="590"/>
      <c r="P75" s="590"/>
      <c r="Q75" s="590"/>
    </row>
    <row r="76" spans="3:17">
      <c r="C76" s="641" t="s">
        <v>197</v>
      </c>
      <c r="D76" s="654">
        <v>0</v>
      </c>
      <c r="E76" s="654">
        <v>139.30000000000001</v>
      </c>
      <c r="F76" s="655">
        <v>160.5</v>
      </c>
      <c r="G76" s="608">
        <v>160.80000000000001</v>
      </c>
      <c r="H76" s="611"/>
      <c r="I76" s="611"/>
      <c r="J76" s="611"/>
      <c r="K76" s="590"/>
      <c r="L76" s="590"/>
      <c r="M76" s="590"/>
      <c r="N76" s="590"/>
      <c r="O76" s="590"/>
      <c r="P76" s="590"/>
      <c r="Q76" s="590"/>
    </row>
    <row r="77" spans="3:17">
      <c r="C77" s="662" t="s">
        <v>196</v>
      </c>
      <c r="D77" s="663">
        <f>SUM(D71:D76,D69)</f>
        <v>2427.8000000000002</v>
      </c>
      <c r="E77" s="663">
        <f>SUM(E71:E76,E69)</f>
        <v>2605.8000000000002</v>
      </c>
      <c r="F77" s="664">
        <f>SUM(F71:F76,F69)</f>
        <v>2254.1000000000004</v>
      </c>
      <c r="G77" s="598">
        <f>SUM(G69:G76)</f>
        <v>2394.3000000000006</v>
      </c>
      <c r="H77" s="590"/>
      <c r="I77" s="590"/>
      <c r="J77" s="590"/>
      <c r="K77" s="590"/>
      <c r="L77" s="590"/>
      <c r="M77" s="590"/>
      <c r="N77" s="590"/>
      <c r="O77" s="590"/>
      <c r="P77" s="590"/>
      <c r="Q77" s="590"/>
    </row>
    <row r="78" spans="3:17">
      <c r="C78" s="640"/>
      <c r="D78" s="640"/>
      <c r="E78" s="640"/>
      <c r="F78" s="652"/>
      <c r="G78" s="650"/>
      <c r="H78" s="590"/>
      <c r="I78" s="590"/>
      <c r="J78" s="590"/>
      <c r="K78" s="590"/>
      <c r="L78" s="590"/>
      <c r="M78" s="590"/>
      <c r="N78" s="590"/>
      <c r="O78" s="590"/>
      <c r="P78" s="590"/>
      <c r="Q78" s="590"/>
    </row>
    <row r="79" spans="3:17">
      <c r="C79" s="656" t="s">
        <v>195</v>
      </c>
      <c r="D79" s="640"/>
      <c r="E79" s="640"/>
      <c r="F79" s="652"/>
      <c r="G79" s="598"/>
      <c r="H79" s="590"/>
      <c r="I79" s="590"/>
      <c r="J79" s="590"/>
      <c r="K79" s="590"/>
      <c r="L79" s="590"/>
      <c r="M79" s="590"/>
      <c r="N79" s="590"/>
      <c r="O79" s="590"/>
      <c r="P79" s="590"/>
      <c r="Q79" s="590"/>
    </row>
    <row r="80" spans="3:17" ht="16">
      <c r="C80" s="641" t="s">
        <v>194</v>
      </c>
      <c r="D80" s="640">
        <v>682.6</v>
      </c>
      <c r="E80" s="640">
        <v>666.3</v>
      </c>
      <c r="F80" s="652">
        <v>640.4</v>
      </c>
      <c r="G80" s="598">
        <v>625.79999999999995</v>
      </c>
      <c r="H80" s="611"/>
      <c r="I80" s="611"/>
      <c r="J80" s="611"/>
      <c r="K80" s="590"/>
      <c r="L80" s="590"/>
      <c r="M80" s="665"/>
      <c r="N80" s="590"/>
      <c r="O80" s="590"/>
      <c r="P80" s="590"/>
      <c r="Q80" s="590"/>
    </row>
    <row r="81" spans="1:23" ht="16">
      <c r="C81" s="641" t="s">
        <v>193</v>
      </c>
      <c r="D81" s="640">
        <v>0</v>
      </c>
      <c r="E81" s="640">
        <v>-12.2</v>
      </c>
      <c r="F81" s="652">
        <v>-14.4</v>
      </c>
      <c r="G81" s="598">
        <v>-14.4</v>
      </c>
      <c r="H81" s="611"/>
      <c r="I81" s="611"/>
      <c r="J81" s="611"/>
      <c r="K81" s="590"/>
      <c r="L81" s="590"/>
      <c r="M81" s="665"/>
      <c r="N81" s="590"/>
      <c r="O81" s="590"/>
      <c r="P81" s="590"/>
      <c r="Q81" s="590"/>
    </row>
    <row r="82" spans="1:23">
      <c r="C82" s="641" t="s">
        <v>192</v>
      </c>
      <c r="D82" s="640">
        <v>3.8</v>
      </c>
      <c r="E82" s="640">
        <v>16.2</v>
      </c>
      <c r="F82" s="652">
        <v>14.6</v>
      </c>
      <c r="G82" s="598">
        <v>16.2</v>
      </c>
      <c r="H82" s="611"/>
      <c r="I82" s="611"/>
      <c r="J82" s="611"/>
      <c r="K82" s="590"/>
      <c r="L82" s="590"/>
      <c r="M82" s="590"/>
      <c r="N82" s="590"/>
      <c r="O82" s="590"/>
      <c r="P82" s="590"/>
      <c r="Q82" s="590"/>
    </row>
    <row r="83" spans="1:23">
      <c r="C83" s="641" t="s">
        <v>191</v>
      </c>
      <c r="D83" s="640">
        <v>1763.6</v>
      </c>
      <c r="E83" s="640">
        <v>1874.4</v>
      </c>
      <c r="F83" s="652">
        <v>2165.9</v>
      </c>
      <c r="G83" s="598">
        <v>2142.4</v>
      </c>
      <c r="H83" s="611"/>
      <c r="I83" s="611"/>
      <c r="J83" s="611"/>
      <c r="K83" s="590"/>
      <c r="L83" s="590"/>
      <c r="M83" s="590"/>
      <c r="N83" s="590"/>
      <c r="O83" s="590"/>
      <c r="P83" s="590"/>
      <c r="Q83" s="590"/>
    </row>
    <row r="84" spans="1:23">
      <c r="C84" s="641" t="s">
        <v>190</v>
      </c>
      <c r="D84" s="654">
        <v>-51.2</v>
      </c>
      <c r="E84" s="654">
        <v>-0.4</v>
      </c>
      <c r="F84" s="655">
        <v>-0.4</v>
      </c>
      <c r="G84" s="608">
        <v>-0.4</v>
      </c>
      <c r="H84" s="611"/>
      <c r="I84" s="611"/>
      <c r="J84" s="611"/>
      <c r="K84" s="590"/>
      <c r="L84" s="590"/>
      <c r="M84" s="590"/>
      <c r="N84" s="590"/>
      <c r="O84" s="590"/>
      <c r="P84" s="590"/>
      <c r="Q84" s="590"/>
    </row>
    <row r="85" spans="1:23">
      <c r="C85" s="641" t="s">
        <v>189</v>
      </c>
      <c r="D85" s="654">
        <f>SUM(D80:D84)</f>
        <v>2398.8000000000002</v>
      </c>
      <c r="E85" s="654">
        <f>SUM(E80:E84)</f>
        <v>2544.2999999999997</v>
      </c>
      <c r="F85" s="655">
        <f>SUM(F80:F84)</f>
        <v>2806.1</v>
      </c>
      <c r="G85" s="666">
        <f>SUM(G80:G84)</f>
        <v>2769.6</v>
      </c>
      <c r="H85" s="611"/>
      <c r="I85" s="611"/>
      <c r="J85" s="611"/>
      <c r="K85" s="590"/>
      <c r="L85" s="590"/>
      <c r="M85" s="590"/>
      <c r="N85" s="590"/>
      <c r="O85" s="590"/>
      <c r="P85" s="590"/>
      <c r="Q85" s="590"/>
    </row>
    <row r="86" spans="1:23">
      <c r="C86" s="667" t="s">
        <v>188</v>
      </c>
      <c r="D86" s="640">
        <v>0.5</v>
      </c>
      <c r="E86" s="640">
        <v>0.8</v>
      </c>
      <c r="F86" s="652">
        <v>1.3</v>
      </c>
      <c r="G86" s="666">
        <v>1.5</v>
      </c>
      <c r="H86" s="611"/>
      <c r="I86" s="611"/>
      <c r="J86" s="611"/>
      <c r="K86" s="590"/>
      <c r="L86" s="590"/>
      <c r="M86" s="590"/>
      <c r="N86" s="590"/>
      <c r="O86" s="590"/>
      <c r="P86" s="590"/>
      <c r="Q86" s="590"/>
    </row>
    <row r="87" spans="1:23">
      <c r="C87" s="668" t="s">
        <v>187</v>
      </c>
      <c r="D87" s="663">
        <f>SUM(D85:D86)</f>
        <v>2399.3000000000002</v>
      </c>
      <c r="E87" s="663">
        <f>SUM(E85:E86)</f>
        <v>2545.1</v>
      </c>
      <c r="F87" s="664">
        <f>SUM(F85:F86)</f>
        <v>2807.4</v>
      </c>
      <c r="G87" s="666">
        <f>SUM(G85:G86)</f>
        <v>2771.1</v>
      </c>
      <c r="H87" s="590"/>
      <c r="I87" s="590"/>
      <c r="J87" s="590"/>
      <c r="K87" s="590"/>
      <c r="L87" s="590"/>
      <c r="M87" s="590"/>
      <c r="N87" s="590"/>
      <c r="O87" s="590"/>
      <c r="P87" s="590"/>
      <c r="Q87" s="590"/>
    </row>
    <row r="88" spans="1:23" ht="14" thickBot="1">
      <c r="C88" s="669"/>
      <c r="D88" s="670">
        <f>SUM(D77,D87)</f>
        <v>4827.1000000000004</v>
      </c>
      <c r="E88" s="670">
        <f>SUM(E77,E87)</f>
        <v>5150.8999999999996</v>
      </c>
      <c r="F88" s="671">
        <f>SUM(F77,F87)</f>
        <v>5061.5</v>
      </c>
      <c r="G88" s="610">
        <f>G87+G77</f>
        <v>5165.4000000000005</v>
      </c>
      <c r="H88" s="617"/>
      <c r="I88" s="617"/>
      <c r="J88" s="617"/>
      <c r="K88" s="590"/>
      <c r="L88" s="590"/>
      <c r="M88" s="590"/>
      <c r="N88" s="590"/>
      <c r="O88" s="590"/>
      <c r="P88" s="590"/>
      <c r="Q88" s="590"/>
    </row>
    <row r="89" spans="1:23" ht="14" thickTop="1">
      <c r="C89" s="672"/>
      <c r="F89" s="590"/>
      <c r="G89" s="673"/>
      <c r="H89" s="590"/>
      <c r="I89" s="590"/>
      <c r="J89" s="590"/>
      <c r="K89" s="590"/>
      <c r="L89" s="590"/>
      <c r="M89" s="590"/>
      <c r="N89" s="590"/>
      <c r="O89" s="590"/>
      <c r="P89" s="590"/>
      <c r="Q89" s="590"/>
    </row>
    <row r="90" spans="1:23" ht="14" thickBot="1">
      <c r="C90" s="674"/>
      <c r="D90" s="674"/>
      <c r="E90" s="674"/>
      <c r="F90" s="674"/>
      <c r="G90" s="675"/>
      <c r="H90" s="606"/>
      <c r="I90" s="606"/>
      <c r="J90" s="606"/>
      <c r="K90" s="606"/>
      <c r="L90" s="606"/>
      <c r="M90" s="606"/>
      <c r="N90" s="590"/>
      <c r="O90" s="590"/>
      <c r="P90" s="590"/>
      <c r="Q90" s="590"/>
    </row>
    <row r="91" spans="1:23">
      <c r="C91" s="606"/>
      <c r="D91" s="606"/>
      <c r="E91" s="606"/>
      <c r="F91" s="606"/>
      <c r="G91" s="605"/>
      <c r="H91" s="606"/>
      <c r="I91" s="606"/>
      <c r="J91" s="606"/>
      <c r="K91" s="606"/>
      <c r="L91" s="606"/>
      <c r="M91" s="606"/>
      <c r="N91" s="590"/>
      <c r="O91" s="590"/>
      <c r="P91" s="590"/>
      <c r="Q91" s="590"/>
    </row>
    <row r="92" spans="1:23">
      <c r="C92" s="676" t="s">
        <v>257</v>
      </c>
      <c r="F92" s="590"/>
      <c r="G92" s="608"/>
      <c r="H92" s="590"/>
      <c r="I92" s="590"/>
      <c r="J92" s="590"/>
      <c r="K92" s="590"/>
      <c r="L92" s="590"/>
      <c r="M92" s="590"/>
      <c r="N92" s="590"/>
      <c r="O92" s="590"/>
      <c r="P92" s="590"/>
      <c r="Q92" s="590"/>
    </row>
    <row r="93" spans="1:23">
      <c r="C93" s="677" t="s">
        <v>186</v>
      </c>
      <c r="D93" s="648"/>
      <c r="E93" s="678"/>
      <c r="F93" s="678"/>
      <c r="G93" s="610"/>
      <c r="H93" s="617"/>
      <c r="I93" s="617"/>
      <c r="J93" s="617"/>
      <c r="K93" s="590"/>
      <c r="L93" s="590"/>
      <c r="M93" s="590"/>
      <c r="N93" s="590"/>
      <c r="O93" s="590"/>
      <c r="P93" s="590"/>
      <c r="Q93" s="590"/>
    </row>
    <row r="94" spans="1:23">
      <c r="C94" s="652" t="s">
        <v>185</v>
      </c>
      <c r="D94" s="617">
        <v>545.5</v>
      </c>
      <c r="E94" s="617">
        <v>665.2</v>
      </c>
      <c r="F94" s="617">
        <v>919.1</v>
      </c>
      <c r="G94" s="610">
        <v>132.9</v>
      </c>
      <c r="H94" s="617"/>
      <c r="I94" s="617"/>
      <c r="J94" s="617"/>
      <c r="K94" s="590"/>
      <c r="L94" s="590"/>
      <c r="M94" s="590"/>
      <c r="N94" s="590"/>
      <c r="O94" s="590"/>
      <c r="P94" s="590"/>
      <c r="Q94" s="590"/>
    </row>
    <row r="95" spans="1:23" s="615" customFormat="1">
      <c r="A95" s="590"/>
      <c r="B95" s="598"/>
      <c r="C95" s="679" t="s">
        <v>184</v>
      </c>
      <c r="D95" s="615">
        <v>0</v>
      </c>
      <c r="E95" s="615">
        <v>-1.2</v>
      </c>
      <c r="F95" s="615">
        <v>8.5</v>
      </c>
      <c r="G95" s="608">
        <v>0</v>
      </c>
      <c r="H95" s="611"/>
      <c r="I95" s="590"/>
      <c r="J95" s="590"/>
      <c r="K95" s="590"/>
      <c r="L95" s="590"/>
      <c r="M95" s="590"/>
      <c r="N95" s="590"/>
      <c r="O95" s="590"/>
      <c r="P95" s="590"/>
      <c r="Q95" s="590"/>
      <c r="R95" s="590"/>
      <c r="S95" s="590"/>
      <c r="T95" s="590"/>
      <c r="U95" s="590"/>
      <c r="V95" s="590"/>
      <c r="W95" s="590"/>
    </row>
    <row r="96" spans="1:23">
      <c r="C96" s="680"/>
      <c r="D96" s="648">
        <f>SUM(D94:D95)</f>
        <v>545.5</v>
      </c>
      <c r="E96" s="590">
        <f>SUM(E94:E95)</f>
        <v>664</v>
      </c>
      <c r="F96" s="590">
        <f>SUM(F94:F95)</f>
        <v>927.6</v>
      </c>
      <c r="G96" s="598">
        <f>132.9</f>
        <v>132.9</v>
      </c>
      <c r="H96" s="611"/>
      <c r="I96" s="590"/>
      <c r="J96" s="590"/>
      <c r="K96" s="590"/>
      <c r="L96" s="590"/>
      <c r="M96" s="590"/>
      <c r="N96" s="590"/>
      <c r="O96" s="590"/>
      <c r="P96" s="590"/>
      <c r="Q96" s="590"/>
      <c r="R96" s="590"/>
      <c r="S96" s="590"/>
      <c r="T96" s="590"/>
      <c r="U96" s="590"/>
      <c r="V96" s="590"/>
      <c r="W96" s="590"/>
    </row>
    <row r="97" spans="3:17">
      <c r="C97" s="680" t="s">
        <v>183</v>
      </c>
      <c r="D97" s="640"/>
      <c r="E97" s="590"/>
      <c r="F97" s="590"/>
      <c r="G97" s="598"/>
      <c r="H97" s="611"/>
      <c r="I97" s="611"/>
      <c r="J97" s="611"/>
      <c r="K97" s="590"/>
      <c r="L97" s="590"/>
      <c r="M97" s="590"/>
      <c r="N97" s="590"/>
      <c r="O97" s="590"/>
      <c r="P97" s="590"/>
      <c r="Q97" s="590"/>
    </row>
    <row r="98" spans="3:17">
      <c r="C98" s="640" t="s">
        <v>182</v>
      </c>
      <c r="D98" s="640">
        <v>-42.4</v>
      </c>
      <c r="E98" s="590">
        <v>-47.6</v>
      </c>
      <c r="F98" s="590">
        <v>-50.8</v>
      </c>
      <c r="G98" s="598">
        <v>-13.1</v>
      </c>
      <c r="H98" s="611"/>
      <c r="I98" s="611"/>
      <c r="J98" s="611"/>
      <c r="K98" s="590"/>
      <c r="L98" s="590"/>
      <c r="M98" s="590"/>
      <c r="N98" s="590"/>
      <c r="O98" s="590"/>
      <c r="P98" s="590"/>
      <c r="Q98" s="590"/>
    </row>
    <row r="99" spans="3:17">
      <c r="C99" s="640" t="s">
        <v>181</v>
      </c>
      <c r="D99" s="640">
        <v>0</v>
      </c>
      <c r="E99" s="590">
        <v>-25</v>
      </c>
      <c r="F99" s="590">
        <v>0</v>
      </c>
      <c r="G99" s="598">
        <v>0</v>
      </c>
      <c r="H99" s="611"/>
      <c r="I99" s="611"/>
      <c r="J99" s="611"/>
      <c r="K99" s="590"/>
      <c r="L99" s="590"/>
      <c r="M99" s="590"/>
      <c r="N99" s="590"/>
      <c r="O99" s="590"/>
      <c r="P99" s="590"/>
      <c r="Q99" s="590"/>
    </row>
    <row r="100" spans="3:17">
      <c r="C100" s="640" t="s">
        <v>180</v>
      </c>
      <c r="D100" s="640">
        <v>0</v>
      </c>
      <c r="E100" s="590">
        <v>0</v>
      </c>
      <c r="F100" s="590">
        <v>40</v>
      </c>
      <c r="G100" s="598">
        <v>0</v>
      </c>
      <c r="H100" s="611"/>
      <c r="I100" s="611"/>
      <c r="J100" s="611"/>
      <c r="K100" s="590"/>
      <c r="L100" s="590"/>
      <c r="M100" s="590"/>
      <c r="N100" s="590"/>
      <c r="O100" s="590"/>
      <c r="P100" s="590"/>
      <c r="Q100" s="590"/>
    </row>
    <row r="101" spans="3:17">
      <c r="C101" s="640" t="s">
        <v>179</v>
      </c>
      <c r="D101" s="640">
        <v>8.9</v>
      </c>
      <c r="E101" s="590">
        <v>0</v>
      </c>
      <c r="F101" s="590">
        <v>0</v>
      </c>
      <c r="G101" s="598">
        <v>6.4</v>
      </c>
      <c r="H101" s="611"/>
      <c r="I101" s="611"/>
      <c r="J101" s="611"/>
      <c r="K101" s="590"/>
      <c r="L101" s="590"/>
      <c r="M101" s="590"/>
      <c r="N101" s="590"/>
      <c r="O101" s="590"/>
      <c r="P101" s="590"/>
      <c r="Q101" s="590"/>
    </row>
    <row r="102" spans="3:17">
      <c r="C102" s="640" t="s">
        <v>178</v>
      </c>
      <c r="D102" s="640">
        <v>179.3</v>
      </c>
      <c r="E102" s="590">
        <v>183.9</v>
      </c>
      <c r="F102" s="590">
        <v>179.6</v>
      </c>
      <c r="G102" s="598">
        <v>41</v>
      </c>
      <c r="H102" s="611"/>
      <c r="I102" s="611"/>
      <c r="J102" s="611"/>
      <c r="K102" s="590"/>
      <c r="L102" s="590"/>
      <c r="M102" s="590"/>
      <c r="N102" s="590"/>
      <c r="O102" s="590"/>
      <c r="P102" s="590"/>
      <c r="Q102" s="590"/>
    </row>
    <row r="103" spans="3:17">
      <c r="C103" s="640" t="s">
        <v>177</v>
      </c>
      <c r="D103" s="640">
        <v>0.4</v>
      </c>
      <c r="E103" s="590">
        <v>0.3</v>
      </c>
      <c r="F103" s="590">
        <v>0.8</v>
      </c>
      <c r="G103" s="598">
        <v>0.2</v>
      </c>
      <c r="H103" s="611"/>
      <c r="I103" s="611"/>
      <c r="J103" s="611"/>
      <c r="K103" s="590"/>
      <c r="L103" s="590"/>
      <c r="M103" s="590"/>
      <c r="N103" s="590"/>
      <c r="O103" s="590"/>
      <c r="P103" s="590"/>
      <c r="Q103" s="590"/>
    </row>
    <row r="104" spans="3:17">
      <c r="C104" s="640" t="s">
        <v>176</v>
      </c>
      <c r="D104" s="640">
        <v>10</v>
      </c>
      <c r="E104" s="590">
        <v>-5.4</v>
      </c>
      <c r="F104" s="590">
        <v>1.5</v>
      </c>
      <c r="G104" s="598">
        <v>0.2</v>
      </c>
      <c r="H104" s="611"/>
      <c r="I104" s="611"/>
      <c r="J104" s="611"/>
      <c r="K104" s="590"/>
      <c r="L104" s="590"/>
      <c r="M104" s="590"/>
      <c r="N104" s="590"/>
      <c r="O104" s="590"/>
      <c r="P104" s="590"/>
      <c r="Q104" s="590"/>
    </row>
    <row r="105" spans="3:17">
      <c r="C105" s="640" t="s">
        <v>175</v>
      </c>
      <c r="D105" s="640">
        <v>0</v>
      </c>
      <c r="E105" s="590">
        <v>0</v>
      </c>
      <c r="F105" s="590">
        <v>-307.8</v>
      </c>
      <c r="G105" s="598">
        <v>0</v>
      </c>
      <c r="H105" s="611"/>
      <c r="I105" s="611"/>
      <c r="J105" s="611"/>
      <c r="K105" s="590"/>
      <c r="L105" s="590"/>
      <c r="M105" s="590"/>
      <c r="N105" s="590"/>
      <c r="O105" s="590"/>
      <c r="P105" s="590"/>
      <c r="Q105" s="590"/>
    </row>
    <row r="106" spans="3:17">
      <c r="C106" s="640" t="s">
        <v>174</v>
      </c>
      <c r="D106" s="640">
        <v>0</v>
      </c>
      <c r="E106" s="590">
        <v>0</v>
      </c>
      <c r="F106" s="590">
        <v>-8.9</v>
      </c>
      <c r="G106" s="598">
        <v>0</v>
      </c>
      <c r="H106" s="611"/>
      <c r="I106" s="611"/>
      <c r="J106" s="611"/>
      <c r="K106" s="590"/>
      <c r="L106" s="590"/>
      <c r="M106" s="590"/>
      <c r="N106" s="590"/>
      <c r="O106" s="590"/>
      <c r="P106" s="590"/>
      <c r="Q106" s="590"/>
    </row>
    <row r="107" spans="3:17">
      <c r="C107" s="640" t="s">
        <v>173</v>
      </c>
      <c r="D107" s="640">
        <v>14.8</v>
      </c>
      <c r="E107" s="590">
        <v>10.3</v>
      </c>
      <c r="F107" s="590">
        <v>12.8</v>
      </c>
      <c r="G107" s="598">
        <v>1.6</v>
      </c>
      <c r="H107" s="611"/>
      <c r="I107" s="611"/>
      <c r="J107" s="611"/>
      <c r="K107" s="590"/>
      <c r="L107" s="590"/>
      <c r="M107" s="590"/>
      <c r="N107" s="590"/>
      <c r="O107" s="590"/>
      <c r="P107" s="590"/>
      <c r="Q107" s="590"/>
    </row>
    <row r="108" spans="3:17">
      <c r="C108" s="640" t="s">
        <v>172</v>
      </c>
      <c r="D108" s="640">
        <v>-5.5</v>
      </c>
      <c r="E108" s="590">
        <v>-10</v>
      </c>
      <c r="F108" s="590">
        <v>-7.6</v>
      </c>
      <c r="G108" s="598">
        <v>-0.6</v>
      </c>
      <c r="H108" s="611"/>
      <c r="I108" s="611"/>
      <c r="J108" s="611"/>
      <c r="K108" s="590"/>
      <c r="L108" s="590"/>
      <c r="M108" s="590"/>
      <c r="N108" s="590"/>
      <c r="O108" s="590"/>
      <c r="P108" s="590"/>
      <c r="Q108" s="590"/>
    </row>
    <row r="109" spans="3:17">
      <c r="C109" s="640" t="s">
        <v>171</v>
      </c>
      <c r="D109" s="640">
        <v>6.3</v>
      </c>
      <c r="E109" s="590">
        <v>6.1</v>
      </c>
      <c r="F109" s="590">
        <v>5.7</v>
      </c>
      <c r="G109" s="598">
        <v>1.6</v>
      </c>
      <c r="H109" s="611"/>
      <c r="I109" s="611"/>
      <c r="J109" s="611"/>
      <c r="K109" s="590"/>
      <c r="L109" s="590"/>
      <c r="M109" s="590"/>
      <c r="N109" s="590"/>
      <c r="O109" s="590"/>
      <c r="P109" s="590"/>
      <c r="Q109" s="590"/>
    </row>
    <row r="110" spans="3:17">
      <c r="C110" s="640" t="s">
        <v>170</v>
      </c>
      <c r="D110" s="640">
        <v>-14.9</v>
      </c>
      <c r="E110" s="590">
        <v>-43.3</v>
      </c>
      <c r="F110" s="590">
        <v>-22.4</v>
      </c>
      <c r="G110" s="598">
        <v>-2.7</v>
      </c>
      <c r="H110" s="611"/>
      <c r="I110" s="611"/>
      <c r="J110" s="611"/>
      <c r="K110" s="590"/>
      <c r="L110" s="590"/>
      <c r="M110" s="590"/>
      <c r="N110" s="590"/>
      <c r="O110" s="590"/>
      <c r="P110" s="590"/>
      <c r="Q110" s="590"/>
    </row>
    <row r="111" spans="3:17">
      <c r="C111" s="681" t="s">
        <v>169</v>
      </c>
      <c r="D111" s="654">
        <v>41.5</v>
      </c>
      <c r="E111" s="590">
        <v>46.4</v>
      </c>
      <c r="F111" s="590">
        <v>41.1</v>
      </c>
      <c r="G111" s="608">
        <v>10.3</v>
      </c>
      <c r="H111" s="611"/>
      <c r="I111" s="611"/>
      <c r="J111" s="611"/>
      <c r="K111" s="590"/>
      <c r="L111" s="590"/>
      <c r="M111" s="590"/>
      <c r="N111" s="590"/>
      <c r="O111" s="590"/>
      <c r="P111" s="590"/>
      <c r="Q111" s="590"/>
    </row>
    <row r="112" spans="3:17">
      <c r="C112" s="652"/>
      <c r="D112" s="597">
        <f>SUM(D98:D111,D96)</f>
        <v>743.90000000000009</v>
      </c>
      <c r="E112" s="597">
        <f>SUM(E98:E111,E96)</f>
        <v>779.7</v>
      </c>
      <c r="F112" s="597">
        <f>SUM(F98:F111,F96)</f>
        <v>811.6</v>
      </c>
      <c r="G112" s="598">
        <f>SUM(G96:G111)</f>
        <v>177.8</v>
      </c>
      <c r="H112" s="611"/>
      <c r="I112" s="590"/>
      <c r="J112" s="590"/>
      <c r="K112" s="590"/>
      <c r="L112" s="590"/>
      <c r="M112" s="590"/>
      <c r="N112" s="590"/>
      <c r="O112" s="590"/>
      <c r="P112" s="590"/>
      <c r="Q112" s="590"/>
    </row>
    <row r="113" spans="3:17">
      <c r="C113" s="652"/>
      <c r="D113" s="590"/>
      <c r="E113" s="590"/>
      <c r="F113" s="590"/>
      <c r="G113" s="598"/>
      <c r="H113" s="590"/>
      <c r="I113" s="590"/>
      <c r="J113" s="590"/>
      <c r="K113" s="590"/>
      <c r="L113" s="590"/>
      <c r="M113" s="590"/>
      <c r="N113" s="590"/>
      <c r="O113" s="590"/>
      <c r="P113" s="590"/>
      <c r="Q113" s="590"/>
    </row>
    <row r="114" spans="3:17">
      <c r="C114" s="652" t="s">
        <v>168</v>
      </c>
      <c r="D114" s="590">
        <v>-7.1</v>
      </c>
      <c r="E114" s="590">
        <v>-44.4</v>
      </c>
      <c r="F114" s="590">
        <v>-68.900000000000006</v>
      </c>
      <c r="G114" s="598">
        <v>-26.4</v>
      </c>
      <c r="H114" s="611"/>
      <c r="I114" s="611"/>
      <c r="J114" s="611"/>
      <c r="K114" s="590"/>
      <c r="L114" s="590"/>
      <c r="M114" s="590"/>
      <c r="N114" s="590"/>
      <c r="O114" s="590"/>
      <c r="P114" s="590"/>
      <c r="Q114" s="590"/>
    </row>
    <row r="115" spans="3:17">
      <c r="C115" s="652" t="s">
        <v>167</v>
      </c>
      <c r="D115" s="590">
        <v>-45.1</v>
      </c>
      <c r="E115" s="590">
        <v>-48</v>
      </c>
      <c r="F115" s="590">
        <v>-42.5</v>
      </c>
      <c r="G115" s="598">
        <v>-19.8</v>
      </c>
      <c r="H115" s="611"/>
      <c r="I115" s="611"/>
      <c r="J115" s="611"/>
      <c r="K115" s="590"/>
      <c r="L115" s="590"/>
      <c r="M115" s="590"/>
      <c r="N115" s="590"/>
      <c r="O115" s="590"/>
      <c r="P115" s="590"/>
      <c r="Q115" s="590"/>
    </row>
    <row r="116" spans="3:17">
      <c r="C116" s="652" t="s">
        <v>166</v>
      </c>
      <c r="D116" s="615">
        <v>-149.30000000000001</v>
      </c>
      <c r="E116" s="615">
        <v>-141.19999999999999</v>
      </c>
      <c r="F116" s="615">
        <v>-133.4</v>
      </c>
      <c r="G116" s="608">
        <v>-110.1</v>
      </c>
      <c r="H116" s="611"/>
      <c r="I116" s="611"/>
      <c r="J116" s="611"/>
      <c r="K116" s="590"/>
      <c r="L116" s="590"/>
      <c r="M116" s="590"/>
      <c r="N116" s="590"/>
      <c r="O116" s="590"/>
      <c r="P116" s="590"/>
      <c r="Q116" s="590"/>
    </row>
    <row r="117" spans="3:17" ht="14" thickBot="1">
      <c r="C117" s="682" t="s">
        <v>165</v>
      </c>
      <c r="D117" s="600">
        <f>SUM(D112,D114:D116)</f>
        <v>542.40000000000009</v>
      </c>
      <c r="E117" s="600">
        <f>SUM(E112,E114:E116)</f>
        <v>546.10000000000014</v>
      </c>
      <c r="F117" s="600">
        <f>SUM(F112,F114:F116)</f>
        <v>566.80000000000007</v>
      </c>
      <c r="G117" s="683">
        <f>SUM(G112:G116)</f>
        <v>21.5</v>
      </c>
      <c r="H117" s="611"/>
      <c r="I117" s="590"/>
      <c r="J117" s="590"/>
      <c r="K117" s="590"/>
      <c r="L117" s="590"/>
      <c r="M117" s="590"/>
      <c r="N117" s="590"/>
      <c r="O117" s="590"/>
      <c r="P117" s="590"/>
      <c r="Q117" s="590"/>
    </row>
    <row r="118" spans="3:17">
      <c r="C118" s="682"/>
      <c r="D118" s="640"/>
      <c r="E118" s="590"/>
      <c r="F118" s="598"/>
      <c r="H118" s="590"/>
      <c r="I118" s="590"/>
      <c r="J118" s="590"/>
      <c r="K118" s="590"/>
      <c r="L118" s="590"/>
      <c r="M118" s="590"/>
      <c r="N118" s="590"/>
      <c r="O118" s="590"/>
      <c r="P118" s="590"/>
      <c r="Q118" s="590"/>
    </row>
    <row r="119" spans="3:17">
      <c r="C119" s="684" t="s">
        <v>164</v>
      </c>
      <c r="D119" s="640"/>
      <c r="E119" s="590"/>
      <c r="F119" s="590"/>
      <c r="G119" s="598"/>
      <c r="H119" s="590"/>
      <c r="I119" s="590"/>
      <c r="J119" s="590"/>
      <c r="K119" s="590"/>
      <c r="L119" s="590"/>
      <c r="M119" s="590"/>
      <c r="N119" s="590"/>
      <c r="O119" s="590"/>
      <c r="P119" s="590"/>
      <c r="Q119" s="590"/>
    </row>
    <row r="120" spans="3:17">
      <c r="C120" s="652" t="s">
        <v>163</v>
      </c>
      <c r="D120" s="590">
        <v>-74.2</v>
      </c>
      <c r="E120" s="590">
        <v>-146.80000000000001</v>
      </c>
      <c r="F120" s="590">
        <v>-11.6</v>
      </c>
      <c r="G120" s="598">
        <v>0</v>
      </c>
      <c r="H120" s="611"/>
      <c r="I120" s="611"/>
      <c r="J120" s="611"/>
      <c r="K120" s="590"/>
      <c r="L120" s="590"/>
      <c r="M120" s="590"/>
      <c r="N120" s="590"/>
      <c r="O120" s="590"/>
      <c r="P120" s="590"/>
      <c r="Q120" s="590"/>
    </row>
    <row r="121" spans="3:17">
      <c r="C121" s="652" t="s">
        <v>162</v>
      </c>
      <c r="D121" s="590">
        <v>0</v>
      </c>
      <c r="E121" s="590">
        <v>0</v>
      </c>
      <c r="F121" s="590">
        <v>22.7</v>
      </c>
      <c r="G121" s="598">
        <v>0</v>
      </c>
      <c r="H121" s="611"/>
      <c r="I121" s="611"/>
      <c r="J121" s="611"/>
      <c r="K121" s="590"/>
      <c r="L121" s="590"/>
      <c r="M121" s="590"/>
      <c r="N121" s="590"/>
      <c r="O121" s="590"/>
      <c r="P121" s="590"/>
      <c r="Q121" s="590"/>
    </row>
    <row r="122" spans="3:17">
      <c r="C122" s="685" t="s">
        <v>161</v>
      </c>
      <c r="D122" s="590">
        <v>0</v>
      </c>
      <c r="E122" s="590">
        <v>6.6</v>
      </c>
      <c r="F122" s="590">
        <v>0</v>
      </c>
      <c r="G122" s="598">
        <v>0</v>
      </c>
      <c r="H122" s="611"/>
      <c r="I122" s="611"/>
      <c r="J122" s="611"/>
      <c r="K122" s="590"/>
      <c r="L122" s="590"/>
      <c r="M122" s="590"/>
      <c r="N122" s="590"/>
      <c r="O122" s="590"/>
      <c r="P122" s="590"/>
      <c r="Q122" s="590"/>
    </row>
    <row r="123" spans="3:17">
      <c r="C123" s="685" t="s">
        <v>160</v>
      </c>
      <c r="D123" s="590">
        <v>0</v>
      </c>
      <c r="E123" s="590">
        <v>0</v>
      </c>
      <c r="F123" s="590">
        <v>472.6</v>
      </c>
      <c r="G123" s="598">
        <v>0</v>
      </c>
      <c r="H123" s="611"/>
      <c r="I123" s="611"/>
      <c r="J123" s="611"/>
      <c r="K123" s="590"/>
      <c r="L123" s="590"/>
      <c r="M123" s="590"/>
      <c r="N123" s="590"/>
      <c r="O123" s="590"/>
      <c r="P123" s="590"/>
      <c r="Q123" s="590"/>
    </row>
    <row r="124" spans="3:17">
      <c r="C124" s="685" t="s">
        <v>159</v>
      </c>
      <c r="D124" s="590">
        <v>5.4</v>
      </c>
      <c r="E124" s="590">
        <v>-4.5999999999999996</v>
      </c>
      <c r="F124" s="590">
        <v>0.6</v>
      </c>
      <c r="G124" s="598">
        <v>-0.8</v>
      </c>
      <c r="H124" s="611"/>
      <c r="I124" s="611"/>
      <c r="J124" s="611"/>
      <c r="K124" s="590"/>
      <c r="L124" s="590"/>
      <c r="M124" s="590"/>
      <c r="N124" s="590"/>
      <c r="O124" s="590"/>
      <c r="P124" s="590"/>
      <c r="Q124" s="590"/>
    </row>
    <row r="125" spans="3:17">
      <c r="C125" s="685" t="s">
        <v>158</v>
      </c>
      <c r="D125" s="590">
        <v>4.7</v>
      </c>
      <c r="E125" s="590">
        <v>6.2</v>
      </c>
      <c r="F125" s="590">
        <v>4.0999999999999996</v>
      </c>
      <c r="G125" s="598">
        <v>1</v>
      </c>
      <c r="H125" s="611"/>
      <c r="I125" s="611"/>
      <c r="J125" s="611"/>
      <c r="K125" s="590"/>
      <c r="L125" s="590"/>
      <c r="M125" s="590"/>
      <c r="N125" s="590"/>
      <c r="O125" s="590"/>
      <c r="P125" s="590"/>
      <c r="Q125" s="590"/>
    </row>
    <row r="126" spans="3:17">
      <c r="C126" s="685" t="s">
        <v>157</v>
      </c>
      <c r="D126" s="590">
        <v>-148.1</v>
      </c>
      <c r="E126" s="590">
        <v>-210.5</v>
      </c>
      <c r="F126" s="590">
        <v>-208.4</v>
      </c>
      <c r="G126" s="598">
        <v>-43.7</v>
      </c>
      <c r="H126" s="611"/>
      <c r="I126" s="611"/>
      <c r="J126" s="611"/>
      <c r="K126" s="590"/>
      <c r="L126" s="590"/>
      <c r="M126" s="590"/>
      <c r="N126" s="590"/>
      <c r="O126" s="590"/>
      <c r="P126" s="590"/>
      <c r="Q126" s="590"/>
    </row>
    <row r="127" spans="3:17">
      <c r="C127" s="652" t="s">
        <v>156</v>
      </c>
      <c r="D127" s="590">
        <v>2.6</v>
      </c>
      <c r="E127" s="590">
        <v>26.9</v>
      </c>
      <c r="F127" s="590">
        <v>1.2</v>
      </c>
      <c r="G127" s="598">
        <v>0.5</v>
      </c>
      <c r="H127" s="611"/>
      <c r="I127" s="611"/>
      <c r="J127" s="611"/>
      <c r="K127" s="590"/>
      <c r="L127" s="590"/>
      <c r="M127" s="590"/>
      <c r="N127" s="590"/>
      <c r="O127" s="590"/>
      <c r="P127" s="590"/>
      <c r="Q127" s="590"/>
    </row>
    <row r="128" spans="3:17">
      <c r="C128" s="652" t="s">
        <v>155</v>
      </c>
      <c r="D128" s="590">
        <v>2.8</v>
      </c>
      <c r="E128" s="590">
        <v>3.5</v>
      </c>
      <c r="F128" s="590">
        <v>2.5</v>
      </c>
      <c r="G128" s="598">
        <v>0</v>
      </c>
      <c r="H128" s="611"/>
      <c r="I128" s="611"/>
      <c r="J128" s="611"/>
      <c r="K128" s="590"/>
      <c r="L128" s="590"/>
      <c r="M128" s="590"/>
      <c r="N128" s="590"/>
      <c r="O128" s="590"/>
      <c r="P128" s="590"/>
      <c r="Q128" s="590"/>
    </row>
    <row r="129" spans="3:17">
      <c r="C129" s="652" t="s">
        <v>154</v>
      </c>
      <c r="D129" s="590">
        <v>-19.899999999999999</v>
      </c>
      <c r="E129" s="590">
        <v>-38.299999999999997</v>
      </c>
      <c r="F129" s="590">
        <v>-19.399999999999999</v>
      </c>
      <c r="G129" s="598">
        <v>-4.0999999999999996</v>
      </c>
      <c r="H129" s="611"/>
      <c r="I129" s="611"/>
      <c r="J129" s="611"/>
      <c r="K129" s="590"/>
      <c r="L129" s="590"/>
      <c r="M129" s="590"/>
      <c r="N129" s="590"/>
      <c r="O129" s="590"/>
      <c r="P129" s="590"/>
      <c r="Q129" s="590"/>
    </row>
    <row r="130" spans="3:17" ht="14" thickBot="1">
      <c r="C130" s="682" t="s">
        <v>153</v>
      </c>
      <c r="D130" s="686">
        <f>SUM(D120:D129)</f>
        <v>-226.7</v>
      </c>
      <c r="E130" s="686">
        <f>SUM(E120:E129)</f>
        <v>-357.00000000000006</v>
      </c>
      <c r="F130" s="686">
        <f>SUM(F120:F129)</f>
        <v>264.30000000000013</v>
      </c>
      <c r="G130" s="683">
        <f>SUM(G120:G129)</f>
        <v>-47.1</v>
      </c>
      <c r="H130" s="611"/>
      <c r="I130" s="611"/>
      <c r="J130" s="611"/>
      <c r="K130" s="590"/>
      <c r="L130" s="590"/>
      <c r="M130" s="590"/>
      <c r="N130" s="590"/>
      <c r="O130" s="590"/>
      <c r="P130" s="590"/>
      <c r="Q130" s="590"/>
    </row>
    <row r="131" spans="3:17">
      <c r="C131" s="682"/>
      <c r="D131" s="640"/>
      <c r="E131" s="590"/>
      <c r="F131" s="590"/>
      <c r="G131" s="687"/>
      <c r="H131" s="590"/>
      <c r="I131" s="590"/>
      <c r="J131" s="590"/>
      <c r="K131" s="590"/>
      <c r="L131" s="590"/>
      <c r="M131" s="590"/>
      <c r="N131" s="590"/>
      <c r="O131" s="590"/>
      <c r="P131" s="590"/>
      <c r="Q131" s="590"/>
    </row>
    <row r="132" spans="3:17">
      <c r="C132" s="684" t="s">
        <v>152</v>
      </c>
      <c r="D132" s="640"/>
      <c r="E132" s="590"/>
      <c r="F132" s="590"/>
      <c r="G132" s="598"/>
      <c r="H132" s="590"/>
      <c r="I132" s="590"/>
      <c r="J132" s="590"/>
      <c r="K132" s="590"/>
      <c r="L132" s="590"/>
      <c r="M132" s="590"/>
      <c r="N132" s="590"/>
      <c r="O132" s="590"/>
      <c r="P132" s="590"/>
      <c r="Q132" s="590"/>
    </row>
    <row r="133" spans="3:17">
      <c r="C133" s="652" t="s">
        <v>151</v>
      </c>
      <c r="D133" s="590">
        <v>-0.7</v>
      </c>
      <c r="E133" s="590">
        <v>-15.5</v>
      </c>
      <c r="F133" s="590">
        <v>1.7</v>
      </c>
      <c r="G133" s="598">
        <v>3.4</v>
      </c>
      <c r="H133" s="611"/>
      <c r="I133" s="611"/>
      <c r="J133" s="611"/>
      <c r="K133" s="590"/>
      <c r="L133" s="590"/>
      <c r="M133" s="590"/>
      <c r="N133" s="590"/>
      <c r="O133" s="590"/>
      <c r="P133" s="590"/>
      <c r="Q133" s="590"/>
    </row>
    <row r="134" spans="3:17">
      <c r="C134" s="652" t="s">
        <v>150</v>
      </c>
      <c r="D134" s="590">
        <v>7</v>
      </c>
      <c r="E134" s="590">
        <v>8.1</v>
      </c>
      <c r="F134" s="590">
        <v>13.9</v>
      </c>
      <c r="G134" s="598">
        <v>0</v>
      </c>
      <c r="H134" s="611"/>
      <c r="I134" s="611"/>
      <c r="J134" s="611"/>
      <c r="K134" s="590"/>
      <c r="L134" s="590"/>
      <c r="M134" s="590"/>
      <c r="N134" s="590"/>
      <c r="O134" s="590"/>
      <c r="P134" s="590"/>
      <c r="Q134" s="590"/>
    </row>
    <row r="135" spans="3:17">
      <c r="C135" s="652" t="s">
        <v>149</v>
      </c>
      <c r="D135" s="590">
        <v>-188.3</v>
      </c>
      <c r="E135" s="590">
        <v>-215</v>
      </c>
      <c r="F135" s="590">
        <v>-409.4</v>
      </c>
      <c r="G135" s="598">
        <v>-130.4</v>
      </c>
      <c r="H135" s="611"/>
      <c r="I135" s="611"/>
      <c r="J135" s="611"/>
      <c r="K135" s="590"/>
      <c r="L135" s="590"/>
      <c r="M135" s="590"/>
      <c r="N135" s="590"/>
      <c r="O135" s="590"/>
      <c r="P135" s="590"/>
      <c r="Q135" s="590"/>
    </row>
    <row r="136" spans="3:17">
      <c r="C136" s="652" t="s">
        <v>148</v>
      </c>
      <c r="D136" s="590">
        <v>-8.9</v>
      </c>
      <c r="E136" s="590">
        <v>-2.6</v>
      </c>
      <c r="F136" s="590">
        <v>-6.3</v>
      </c>
      <c r="G136" s="598">
        <v>0</v>
      </c>
      <c r="H136" s="611"/>
      <c r="I136" s="611"/>
      <c r="J136" s="611"/>
      <c r="K136" s="590"/>
      <c r="L136" s="590"/>
      <c r="M136" s="590"/>
      <c r="N136" s="590"/>
      <c r="O136" s="590"/>
      <c r="P136" s="590"/>
      <c r="Q136" s="590"/>
    </row>
    <row r="137" spans="3:17">
      <c r="C137" s="652" t="s">
        <v>147</v>
      </c>
      <c r="D137" s="590">
        <v>-0.4</v>
      </c>
      <c r="E137" s="590">
        <v>-0.1</v>
      </c>
      <c r="F137" s="590">
        <v>-0.3</v>
      </c>
      <c r="G137" s="598">
        <v>0</v>
      </c>
      <c r="H137" s="611"/>
      <c r="I137" s="611"/>
      <c r="J137" s="611"/>
      <c r="K137" s="590"/>
      <c r="L137" s="590"/>
      <c r="M137" s="590"/>
      <c r="N137" s="590"/>
      <c r="O137" s="590"/>
      <c r="P137" s="590"/>
      <c r="Q137" s="590"/>
    </row>
    <row r="138" spans="3:17">
      <c r="C138" s="652" t="s">
        <v>146</v>
      </c>
      <c r="D138" s="590">
        <v>8.4</v>
      </c>
      <c r="E138" s="590">
        <v>391.1</v>
      </c>
      <c r="F138" s="590">
        <v>5.4</v>
      </c>
      <c r="G138" s="598">
        <v>155.30000000000001</v>
      </c>
      <c r="H138" s="611"/>
      <c r="I138" s="611"/>
      <c r="J138" s="611"/>
      <c r="K138" s="590"/>
      <c r="L138" s="590"/>
      <c r="M138" s="590"/>
      <c r="N138" s="590"/>
      <c r="O138" s="590"/>
      <c r="P138" s="590"/>
      <c r="Q138" s="590"/>
    </row>
    <row r="139" spans="3:17">
      <c r="C139" s="652" t="s">
        <v>145</v>
      </c>
      <c r="D139" s="590">
        <v>-12.1</v>
      </c>
      <c r="E139" s="590">
        <v>-454.9</v>
      </c>
      <c r="F139" s="590">
        <v>-337.3</v>
      </c>
      <c r="G139" s="598">
        <v>-4.7</v>
      </c>
      <c r="H139" s="611"/>
      <c r="I139" s="611"/>
      <c r="J139" s="611"/>
      <c r="K139" s="590"/>
      <c r="L139" s="590"/>
      <c r="M139" s="590"/>
      <c r="N139" s="590"/>
      <c r="O139" s="590"/>
      <c r="P139" s="590"/>
      <c r="Q139" s="590"/>
    </row>
    <row r="140" spans="3:17">
      <c r="C140" s="652" t="s">
        <v>144</v>
      </c>
      <c r="D140" s="590">
        <v>-0.3</v>
      </c>
      <c r="E140" s="590">
        <v>0</v>
      </c>
      <c r="F140" s="590">
        <v>0</v>
      </c>
      <c r="G140" s="598">
        <v>0</v>
      </c>
      <c r="H140" s="611"/>
      <c r="I140" s="611"/>
      <c r="J140" s="611"/>
      <c r="K140" s="590"/>
      <c r="L140" s="590"/>
      <c r="M140" s="590"/>
      <c r="N140" s="590"/>
      <c r="O140" s="590"/>
      <c r="P140" s="590"/>
      <c r="Q140" s="590"/>
    </row>
    <row r="141" spans="3:17">
      <c r="C141" s="652" t="s">
        <v>143</v>
      </c>
      <c r="D141" s="590">
        <v>-2.5</v>
      </c>
      <c r="E141" s="590">
        <v>0.5</v>
      </c>
      <c r="F141" s="590">
        <v>0.2</v>
      </c>
      <c r="G141" s="598">
        <v>-0.7</v>
      </c>
      <c r="H141" s="611"/>
      <c r="I141" s="611"/>
      <c r="J141" s="611"/>
      <c r="K141" s="590"/>
      <c r="L141" s="590"/>
      <c r="M141" s="590"/>
      <c r="N141" s="590"/>
      <c r="O141" s="590"/>
      <c r="P141" s="590"/>
      <c r="Q141" s="590"/>
    </row>
    <row r="142" spans="3:17">
      <c r="C142" s="652" t="s">
        <v>90</v>
      </c>
      <c r="D142" s="590">
        <v>-77.099999999999994</v>
      </c>
      <c r="E142" s="590">
        <v>-82.9</v>
      </c>
      <c r="F142" s="590">
        <v>-91.5</v>
      </c>
      <c r="G142" s="608">
        <v>-22.8</v>
      </c>
      <c r="H142" s="611"/>
      <c r="I142" s="611"/>
      <c r="J142" s="611"/>
      <c r="K142" s="590"/>
      <c r="L142" s="590"/>
      <c r="M142" s="590"/>
      <c r="N142" s="590"/>
      <c r="O142" s="590"/>
      <c r="P142" s="590"/>
      <c r="Q142" s="590"/>
    </row>
    <row r="143" spans="3:17" ht="14" thickBot="1">
      <c r="C143" s="682" t="s">
        <v>142</v>
      </c>
      <c r="D143" s="686">
        <f>SUM(D133:D142)</f>
        <v>-274.89999999999998</v>
      </c>
      <c r="E143" s="686">
        <f>SUM(E133:E142)</f>
        <v>-371.29999999999995</v>
      </c>
      <c r="F143" s="686">
        <f>SUM(F133:F142)</f>
        <v>-823.59999999999991</v>
      </c>
      <c r="G143" s="683">
        <f>SUM(G133:G142)</f>
        <v>0.10000000000001208</v>
      </c>
      <c r="H143" s="611"/>
      <c r="I143" s="590"/>
      <c r="J143" s="590"/>
      <c r="K143" s="590"/>
      <c r="L143" s="590"/>
      <c r="M143" s="590"/>
      <c r="N143" s="590"/>
      <c r="O143" s="590"/>
      <c r="P143" s="590"/>
      <c r="Q143" s="590"/>
    </row>
    <row r="144" spans="3:17">
      <c r="C144" s="682"/>
      <c r="D144" s="590"/>
      <c r="E144" s="590"/>
      <c r="F144" s="590"/>
      <c r="G144" s="598"/>
      <c r="H144" s="611"/>
      <c r="I144" s="611"/>
      <c r="J144" s="611"/>
      <c r="K144" s="590"/>
      <c r="L144" s="590"/>
      <c r="M144" s="590"/>
      <c r="N144" s="590"/>
      <c r="O144" s="590"/>
      <c r="P144" s="590"/>
      <c r="Q144" s="590"/>
    </row>
    <row r="145" spans="2:17">
      <c r="C145" s="685" t="s">
        <v>141</v>
      </c>
      <c r="D145" s="590">
        <v>40.799999999999997</v>
      </c>
      <c r="E145" s="590">
        <v>-182.2</v>
      </c>
      <c r="F145" s="590">
        <v>7.5</v>
      </c>
      <c r="G145" s="598">
        <v>-25.5</v>
      </c>
      <c r="H145" s="611"/>
      <c r="I145" s="590"/>
      <c r="J145" s="590"/>
      <c r="K145" s="590"/>
      <c r="L145" s="590"/>
      <c r="M145" s="590"/>
      <c r="N145" s="590"/>
      <c r="O145" s="590"/>
      <c r="P145" s="590"/>
      <c r="Q145" s="590"/>
    </row>
    <row r="146" spans="2:17">
      <c r="C146" s="685" t="s">
        <v>140</v>
      </c>
      <c r="D146" s="590">
        <v>214.7</v>
      </c>
      <c r="E146" s="590">
        <v>255.5</v>
      </c>
      <c r="F146" s="590">
        <v>73.3</v>
      </c>
      <c r="G146" s="608">
        <v>80.8</v>
      </c>
      <c r="H146" s="611"/>
      <c r="I146" s="590"/>
      <c r="J146" s="590"/>
      <c r="K146" s="590"/>
      <c r="L146" s="590"/>
      <c r="M146" s="590"/>
      <c r="N146" s="590"/>
      <c r="O146" s="590"/>
      <c r="P146" s="590"/>
      <c r="Q146" s="590"/>
    </row>
    <row r="147" spans="2:17" ht="14" thickBot="1">
      <c r="C147" s="688" t="s">
        <v>139</v>
      </c>
      <c r="D147" s="689">
        <f>SUM(D145:D146)</f>
        <v>255.5</v>
      </c>
      <c r="E147" s="689">
        <f>SUM(E145:E146)</f>
        <v>73.300000000000011</v>
      </c>
      <c r="F147" s="689">
        <f>SUM(F145:F146)</f>
        <v>80.8</v>
      </c>
      <c r="G147" s="690">
        <f>SUM(G145:G146)</f>
        <v>55.3</v>
      </c>
      <c r="H147" s="611"/>
      <c r="I147" s="590"/>
      <c r="J147" s="590"/>
      <c r="K147" s="590"/>
      <c r="L147" s="590"/>
      <c r="M147" s="590"/>
      <c r="N147" s="590"/>
      <c r="O147" s="590"/>
      <c r="P147" s="590"/>
      <c r="Q147" s="590"/>
    </row>
    <row r="148" spans="2:17" ht="14" thickTop="1">
      <c r="C148" s="691"/>
      <c r="E148" s="590"/>
      <c r="F148" s="590"/>
      <c r="G148" s="598"/>
      <c r="H148" s="590"/>
      <c r="I148" s="590"/>
      <c r="J148" s="590"/>
      <c r="K148" s="590"/>
      <c r="L148" s="590"/>
      <c r="M148" s="590"/>
      <c r="N148" s="590"/>
      <c r="O148" s="590"/>
      <c r="P148" s="590"/>
      <c r="Q148" s="590"/>
    </row>
    <row r="149" spans="2:17" ht="14" thickBot="1">
      <c r="B149" s="590"/>
      <c r="C149" s="692"/>
      <c r="D149" s="600"/>
      <c r="E149" s="600"/>
      <c r="F149" s="600"/>
      <c r="G149" s="598"/>
      <c r="H149" s="590"/>
      <c r="I149" s="590"/>
      <c r="J149" s="590"/>
      <c r="K149" s="590"/>
      <c r="L149" s="590"/>
      <c r="M149" s="590"/>
      <c r="N149" s="590"/>
      <c r="O149" s="590"/>
      <c r="P149" s="590"/>
      <c r="Q149" s="590"/>
    </row>
    <row r="150" spans="2:17">
      <c r="C150" s="691"/>
      <c r="E150" s="590"/>
      <c r="F150" s="590"/>
      <c r="G150" s="687"/>
      <c r="H150" s="590"/>
      <c r="J150" s="590"/>
      <c r="K150" s="590"/>
      <c r="L150" s="590"/>
      <c r="M150" s="590"/>
      <c r="N150" s="590"/>
      <c r="O150" s="590"/>
      <c r="P150" s="590"/>
      <c r="Q150" s="590"/>
    </row>
    <row r="151" spans="2:17">
      <c r="C151" s="676" t="s">
        <v>257</v>
      </c>
      <c r="E151" s="590"/>
      <c r="F151" s="590"/>
      <c r="G151" s="608"/>
      <c r="H151" s="590"/>
      <c r="J151" s="590"/>
      <c r="K151" s="590"/>
      <c r="L151" s="590"/>
      <c r="M151" s="590"/>
      <c r="N151" s="590"/>
      <c r="O151" s="590"/>
      <c r="P151" s="590"/>
      <c r="Q151" s="590"/>
    </row>
    <row r="152" spans="2:17">
      <c r="C152" s="677" t="s">
        <v>138</v>
      </c>
      <c r="D152" s="648"/>
      <c r="E152" s="597"/>
      <c r="F152" s="597"/>
      <c r="G152" s="598"/>
      <c r="H152" s="590"/>
      <c r="I152" s="693"/>
      <c r="J152" s="693"/>
      <c r="K152" s="590"/>
      <c r="L152" s="590"/>
      <c r="M152" s="590"/>
      <c r="N152" s="590"/>
      <c r="O152" s="590"/>
      <c r="P152" s="590"/>
      <c r="Q152" s="590"/>
    </row>
    <row r="153" spans="2:17">
      <c r="C153" s="652" t="s">
        <v>137</v>
      </c>
      <c r="D153" s="590">
        <f>D117+D126+D127+D120+D133+D139</f>
        <v>309.90000000000009</v>
      </c>
      <c r="E153" s="590">
        <f>E117+E126+E127+E120+E133+E139</f>
        <v>-254.69999999999987</v>
      </c>
      <c r="F153" s="590">
        <f>F117+F126+F127+F120+F133+F139</f>
        <v>12.400000000000034</v>
      </c>
      <c r="G153" s="598">
        <f>G117+G126+G127+G120+G133+G139</f>
        <v>-23.000000000000004</v>
      </c>
      <c r="H153" s="590"/>
      <c r="I153" s="693"/>
      <c r="J153" s="590"/>
      <c r="K153" s="590"/>
      <c r="L153" s="590"/>
      <c r="M153" s="590"/>
      <c r="N153" s="590"/>
      <c r="O153" s="590"/>
      <c r="P153" s="590"/>
      <c r="Q153" s="590"/>
    </row>
    <row r="154" spans="2:17">
      <c r="C154" s="652" t="s">
        <v>136</v>
      </c>
      <c r="D154" s="590">
        <f>D117+(-D16)*(1-D162)+D126</f>
        <v>424.18000000000006</v>
      </c>
      <c r="E154" s="590">
        <f>E117+(-E16)*(1-E162)+E126</f>
        <v>369.70400000000018</v>
      </c>
      <c r="F154" s="590">
        <f>F117+(-F16)*(1-F162)+F126</f>
        <v>388.60850000000005</v>
      </c>
      <c r="G154" s="598">
        <f>G117+(-G16)*(1-G162)+G126</f>
        <v>-14.629500000000004</v>
      </c>
      <c r="H154" s="590"/>
      <c r="I154" s="693"/>
      <c r="J154" s="590"/>
      <c r="K154" s="590"/>
      <c r="L154" s="590"/>
      <c r="M154" s="590"/>
      <c r="N154" s="590"/>
      <c r="O154" s="590"/>
      <c r="P154" s="590"/>
      <c r="Q154" s="590"/>
    </row>
    <row r="155" spans="2:17">
      <c r="C155" s="652" t="s">
        <v>135</v>
      </c>
      <c r="D155" s="590">
        <f>D13</f>
        <v>723.89999999999918</v>
      </c>
      <c r="E155" s="590">
        <f>E13</f>
        <v>822.90000000000009</v>
      </c>
      <c r="F155" s="590">
        <f>F13</f>
        <v>781.19999999999936</v>
      </c>
      <c r="G155" s="598">
        <f>G13</f>
        <v>171.1</v>
      </c>
      <c r="H155" s="590"/>
      <c r="I155" s="693"/>
      <c r="J155" s="590"/>
      <c r="K155" s="590"/>
      <c r="L155" s="590"/>
      <c r="M155" s="590"/>
      <c r="N155" s="590"/>
      <c r="O155" s="590"/>
      <c r="P155" s="590"/>
      <c r="Q155" s="590"/>
    </row>
    <row r="156" spans="2:17">
      <c r="C156" s="652" t="s">
        <v>134</v>
      </c>
      <c r="D156" s="590">
        <f>D26+(-D16)*(1-D162)</f>
        <v>422.57999999999919</v>
      </c>
      <c r="E156" s="590">
        <f>E26+(-E16)*(1-E162)</f>
        <v>523.40400000000022</v>
      </c>
      <c r="F156" s="590">
        <f>F26+(-F16)*(1-F162)</f>
        <v>751.80849999999919</v>
      </c>
      <c r="G156" s="598">
        <f>G26+(-G16)*(1-G162)</f>
        <v>106.7705</v>
      </c>
      <c r="H156" s="590"/>
      <c r="I156" s="693"/>
      <c r="J156" s="590"/>
      <c r="K156" s="590"/>
      <c r="L156" s="590"/>
      <c r="M156" s="590"/>
      <c r="N156" s="590"/>
      <c r="O156" s="590"/>
      <c r="P156" s="590"/>
      <c r="Q156" s="590"/>
    </row>
    <row r="157" spans="2:17">
      <c r="C157" s="652" t="s">
        <v>133</v>
      </c>
      <c r="D157" s="590">
        <v>44.69</v>
      </c>
      <c r="E157" s="590">
        <v>58.4</v>
      </c>
      <c r="F157" s="590">
        <v>64.739999999999995</v>
      </c>
      <c r="G157" s="598">
        <v>65.42</v>
      </c>
      <c r="H157" s="590"/>
      <c r="I157" s="693"/>
      <c r="J157" s="590"/>
      <c r="K157" s="590"/>
      <c r="L157" s="590"/>
      <c r="M157" s="590"/>
      <c r="N157" s="590"/>
      <c r="O157" s="590"/>
      <c r="P157" s="590"/>
      <c r="Q157" s="590"/>
    </row>
    <row r="158" spans="2:17">
      <c r="C158" s="652" t="s">
        <v>132</v>
      </c>
      <c r="D158" s="590">
        <v>103.1</v>
      </c>
      <c r="E158" s="590">
        <v>98.9</v>
      </c>
      <c r="F158" s="590">
        <v>94.8</v>
      </c>
      <c r="G158" s="598">
        <v>90.9</v>
      </c>
      <c r="H158" s="590"/>
      <c r="I158" s="693"/>
      <c r="J158" s="590"/>
      <c r="K158" s="590"/>
      <c r="L158" s="590"/>
      <c r="M158" s="590"/>
      <c r="N158" s="590"/>
      <c r="O158" s="590"/>
      <c r="P158" s="590"/>
      <c r="Q158" s="590"/>
    </row>
    <row r="159" spans="2:17">
      <c r="C159" s="652" t="s">
        <v>131</v>
      </c>
      <c r="D159" s="590">
        <v>103.6</v>
      </c>
      <c r="E159" s="590">
        <v>99.6</v>
      </c>
      <c r="F159" s="590">
        <v>95.5</v>
      </c>
      <c r="G159" s="598">
        <v>91.5</v>
      </c>
      <c r="H159" s="590"/>
      <c r="I159" s="693"/>
      <c r="J159" s="590"/>
      <c r="K159" s="590"/>
      <c r="L159" s="590"/>
      <c r="M159" s="590"/>
      <c r="N159" s="590"/>
      <c r="O159" s="590"/>
      <c r="P159" s="590"/>
      <c r="Q159" s="590"/>
    </row>
    <row r="160" spans="2:17">
      <c r="C160" s="652" t="s">
        <v>130</v>
      </c>
      <c r="D160" s="590">
        <f>D49-D69</f>
        <v>-198.40000000000009</v>
      </c>
      <c r="E160" s="590">
        <f>E49-E69</f>
        <v>36.899999999999864</v>
      </c>
      <c r="F160" s="590">
        <f>F49-F69</f>
        <v>-16.900000000000091</v>
      </c>
      <c r="G160" s="598">
        <f>G49-G69</f>
        <v>76.899999999999636</v>
      </c>
      <c r="H160" s="590"/>
      <c r="I160" s="693"/>
      <c r="J160" s="590"/>
      <c r="K160" s="590"/>
      <c r="L160" s="590"/>
      <c r="M160" s="590"/>
      <c r="N160" s="590"/>
      <c r="O160" s="590"/>
      <c r="P160" s="590"/>
      <c r="Q160" s="590"/>
    </row>
    <row r="161" spans="3:17">
      <c r="C161" s="652" t="s">
        <v>129</v>
      </c>
      <c r="D161" s="590">
        <f>D43+D44-D65</f>
        <v>-32.5</v>
      </c>
      <c r="E161" s="590">
        <f>E43+E44-E65</f>
        <v>26.599999999999909</v>
      </c>
      <c r="F161" s="590">
        <f>F43+F44-F65</f>
        <v>76.600000000000023</v>
      </c>
      <c r="G161" s="598">
        <f>G43+G44-G65</f>
        <v>97.099999999999909</v>
      </c>
      <c r="H161" s="590"/>
      <c r="I161" s="693"/>
      <c r="J161" s="590"/>
      <c r="K161" s="590"/>
      <c r="L161" s="590"/>
      <c r="M161" s="590"/>
      <c r="N161" s="590"/>
      <c r="O161" s="590"/>
      <c r="P161" s="590"/>
      <c r="Q161" s="590"/>
    </row>
    <row r="162" spans="3:17">
      <c r="C162" s="652" t="s">
        <v>128</v>
      </c>
      <c r="D162" s="694">
        <v>0.28000000000000003</v>
      </c>
      <c r="E162" s="694">
        <v>0.26500000000000001</v>
      </c>
      <c r="F162" s="694">
        <v>0.26500000000000001</v>
      </c>
      <c r="G162" s="695">
        <v>0.26500000000000001</v>
      </c>
      <c r="H162" s="590"/>
      <c r="I162" s="693"/>
      <c r="J162" s="590"/>
      <c r="K162" s="590"/>
      <c r="L162" s="590"/>
      <c r="M162" s="590"/>
      <c r="N162" s="590"/>
      <c r="O162" s="590"/>
      <c r="P162" s="590"/>
      <c r="Q162" s="590"/>
    </row>
    <row r="163" spans="3:17">
      <c r="C163" s="652" t="s">
        <v>127</v>
      </c>
      <c r="D163" s="696">
        <f>(-D21)/(D20-D16)</f>
        <v>0.26030664395230019</v>
      </c>
      <c r="E163" s="696">
        <f>(-E21)/(E20-E16)</f>
        <v>0.24592467678471047</v>
      </c>
      <c r="F163" s="696">
        <f>(-F21)/(F20-F16)</f>
        <v>0.21214330347844215</v>
      </c>
      <c r="G163" s="697">
        <f>(-G21)/(G20-G16)</f>
        <v>0.23533519553072624</v>
      </c>
      <c r="H163" s="590"/>
      <c r="I163" s="693"/>
      <c r="J163" s="590"/>
      <c r="K163" s="590"/>
      <c r="L163" s="590"/>
      <c r="M163" s="590"/>
      <c r="N163" s="590"/>
      <c r="O163" s="590"/>
      <c r="P163" s="590"/>
      <c r="Q163" s="590"/>
    </row>
    <row r="164" spans="3:17">
      <c r="C164" s="655" t="s">
        <v>126</v>
      </c>
      <c r="D164" s="698">
        <v>2.9100000000000001E-2</v>
      </c>
      <c r="E164" s="698">
        <v>1.52E-2</v>
      </c>
      <c r="F164" s="698">
        <v>9.4000000000000004E-3</v>
      </c>
      <c r="G164" s="608"/>
      <c r="H164" s="590"/>
      <c r="I164" s="693"/>
      <c r="J164" s="590"/>
      <c r="K164" s="590"/>
      <c r="L164" s="590"/>
      <c r="M164" s="590"/>
      <c r="N164" s="590"/>
      <c r="O164" s="590"/>
      <c r="P164" s="590"/>
      <c r="Q164" s="590"/>
    </row>
    <row r="165" spans="3:17">
      <c r="C165" s="587" t="s">
        <v>125</v>
      </c>
      <c r="D165" s="590"/>
      <c r="E165" s="590"/>
      <c r="F165" s="590"/>
      <c r="G165" s="598"/>
      <c r="H165" s="590"/>
      <c r="I165" s="590"/>
      <c r="J165" s="590"/>
      <c r="K165" s="590"/>
      <c r="L165" s="590"/>
      <c r="M165" s="590"/>
      <c r="N165" s="590"/>
      <c r="O165" s="590"/>
      <c r="P165" s="590"/>
      <c r="Q165" s="590"/>
    </row>
    <row r="166" spans="3:17" ht="14" thickBot="1">
      <c r="C166" s="600"/>
      <c r="D166" s="600"/>
      <c r="E166" s="600"/>
      <c r="F166" s="600"/>
      <c r="G166" s="699"/>
      <c r="H166" s="590"/>
      <c r="I166" s="590"/>
      <c r="J166" s="590"/>
      <c r="K166" s="590"/>
      <c r="L166" s="590"/>
      <c r="M166" s="590"/>
      <c r="N166" s="590"/>
      <c r="O166" s="590"/>
      <c r="P166" s="590"/>
      <c r="Q166" s="590"/>
    </row>
    <row r="167" spans="3:17">
      <c r="D167" s="590"/>
      <c r="E167" s="590"/>
      <c r="F167" s="590"/>
      <c r="G167" s="598"/>
      <c r="H167" s="590"/>
      <c r="I167" s="590"/>
      <c r="J167" s="590"/>
      <c r="K167" s="590"/>
      <c r="L167" s="590"/>
      <c r="M167" s="590"/>
      <c r="N167" s="590"/>
      <c r="O167" s="590"/>
      <c r="P167" s="590"/>
      <c r="Q167" s="590"/>
    </row>
    <row r="168" spans="3:17" ht="18">
      <c r="C168" s="700" t="s">
        <v>124</v>
      </c>
      <c r="D168" s="590"/>
      <c r="E168" s="590"/>
      <c r="F168" s="590"/>
      <c r="G168" s="598"/>
      <c r="H168" s="590"/>
      <c r="I168" s="590"/>
      <c r="J168" s="590"/>
      <c r="K168" s="590"/>
      <c r="L168" s="590"/>
      <c r="M168" s="590"/>
      <c r="N168" s="590"/>
      <c r="O168" s="590"/>
      <c r="P168" s="590"/>
      <c r="Q168" s="590"/>
    </row>
    <row r="169" spans="3:17">
      <c r="D169" s="603" t="s">
        <v>65</v>
      </c>
      <c r="E169" s="603" t="s">
        <v>64</v>
      </c>
      <c r="F169" s="603" t="s">
        <v>63</v>
      </c>
      <c r="G169" s="605" t="s">
        <v>368</v>
      </c>
      <c r="H169" s="604"/>
      <c r="I169" s="604"/>
      <c r="J169" s="604"/>
      <c r="K169" s="604"/>
      <c r="L169" s="604"/>
      <c r="M169" s="604"/>
      <c r="N169" s="604"/>
      <c r="O169" s="604"/>
      <c r="P169" s="604"/>
      <c r="Q169" s="590"/>
    </row>
    <row r="170" spans="3:17">
      <c r="C170" s="677" t="s">
        <v>123</v>
      </c>
      <c r="D170" s="701"/>
      <c r="E170" s="701"/>
      <c r="F170" s="701"/>
      <c r="G170" s="702"/>
      <c r="H170" s="703"/>
      <c r="I170" s="590"/>
      <c r="J170" s="590"/>
      <c r="K170" s="590"/>
      <c r="L170" s="590"/>
      <c r="M170" s="590"/>
      <c r="N170" s="590"/>
      <c r="O170" s="590"/>
      <c r="P170" s="590"/>
      <c r="Q170" s="590"/>
    </row>
    <row r="171" spans="3:17">
      <c r="C171" s="652" t="s">
        <v>122</v>
      </c>
      <c r="D171" s="704">
        <f>(D8+D10)/D8</f>
        <v>0.18100452774560383</v>
      </c>
      <c r="E171" s="704">
        <f>(E8+E10)/E8</f>
        <v>0.18749625264456227</v>
      </c>
      <c r="F171" s="704">
        <f>(F8+F10)/F8</f>
        <v>0.18993580524081799</v>
      </c>
      <c r="G171" s="705">
        <f>(G8+G10)/G8</f>
        <v>6.5709103024469695E-2</v>
      </c>
      <c r="H171" s="590"/>
      <c r="I171" s="590"/>
      <c r="J171" s="590"/>
      <c r="K171" s="590"/>
      <c r="L171" s="590"/>
      <c r="M171" s="590"/>
      <c r="N171" s="590"/>
      <c r="O171" s="590"/>
      <c r="P171" s="590"/>
      <c r="Q171" s="590"/>
    </row>
    <row r="172" spans="3:17">
      <c r="C172" s="652" t="s">
        <v>76</v>
      </c>
      <c r="D172" s="704">
        <f>D15/D8</f>
        <v>4.7787020462602157E-2</v>
      </c>
      <c r="E172" s="704">
        <f>E15/E8</f>
        <v>5.4732802850559759E-2</v>
      </c>
      <c r="F172" s="704">
        <f>F15/F8</f>
        <v>5.27589714806889E-2</v>
      </c>
      <c r="G172" s="705">
        <f>G15/G8</f>
        <v>4.8161996075963422E-2</v>
      </c>
      <c r="H172" s="590"/>
      <c r="I172" s="590"/>
      <c r="J172" s="590"/>
      <c r="K172" s="590"/>
      <c r="L172" s="590"/>
      <c r="M172" s="590"/>
      <c r="N172" s="590"/>
      <c r="O172" s="590"/>
      <c r="P172" s="590"/>
      <c r="Q172" s="590"/>
    </row>
    <row r="173" spans="3:17">
      <c r="C173" s="652" t="s">
        <v>121</v>
      </c>
      <c r="D173" s="704">
        <f>D156/D8</f>
        <v>3.7080130567547574E-2</v>
      </c>
      <c r="E173" s="704">
        <f>E156/E8</f>
        <v>4.483156172643879E-2</v>
      </c>
      <c r="F173" s="704">
        <f>F156/F8</f>
        <v>6.5931920230118846E-2</v>
      </c>
      <c r="G173" s="705">
        <f>G156/G8</f>
        <v>3.9525598785769812E-2</v>
      </c>
      <c r="H173" s="590"/>
      <c r="I173" s="590"/>
      <c r="J173" s="590"/>
      <c r="K173" s="590"/>
      <c r="L173" s="590"/>
      <c r="M173" s="590"/>
      <c r="N173" s="590"/>
      <c r="O173" s="590"/>
      <c r="P173" s="590"/>
      <c r="Q173" s="590"/>
    </row>
    <row r="174" spans="3:17">
      <c r="C174" s="652" t="s">
        <v>120</v>
      </c>
      <c r="D174" s="704">
        <f>D26/D8</f>
        <v>3.4458249973675831E-2</v>
      </c>
      <c r="E174" s="704">
        <f>E26/E8</f>
        <v>4.1910423215616423E-2</v>
      </c>
      <c r="F174" s="704">
        <f>F26/F8</f>
        <v>6.3282702494124182E-2</v>
      </c>
      <c r="G174" s="705">
        <f>G26/G8</f>
        <v>3.6723059267759969E-2</v>
      </c>
      <c r="H174" s="590"/>
      <c r="I174" s="590"/>
      <c r="J174" s="590"/>
      <c r="K174" s="590"/>
      <c r="L174" s="590"/>
      <c r="M174" s="590"/>
      <c r="N174" s="590"/>
      <c r="O174" s="590"/>
      <c r="P174" s="590"/>
      <c r="Q174" s="590"/>
    </row>
    <row r="175" spans="3:17">
      <c r="C175" s="652" t="s">
        <v>119</v>
      </c>
      <c r="D175" s="706" t="s">
        <v>5</v>
      </c>
      <c r="E175" s="704">
        <f>(E26+(-E16)*(1-E162))/((D60+E60)/2)</f>
        <v>0.10491160553217083</v>
      </c>
      <c r="F175" s="704">
        <f>(F26+(-F16)*(1-F162))/((E60+F60)/2)</f>
        <v>0.14723444048411718</v>
      </c>
      <c r="G175" s="705">
        <f>(G26+(-G16)*(1-G162))/((F60+G60)/2)</f>
        <v>2.0880325416304059E-2</v>
      </c>
      <c r="H175" s="590"/>
      <c r="I175" s="590"/>
      <c r="J175" s="590"/>
      <c r="K175" s="590"/>
      <c r="L175" s="590"/>
      <c r="M175" s="590"/>
      <c r="N175" s="590"/>
      <c r="O175" s="590"/>
      <c r="P175" s="590"/>
      <c r="Q175" s="590"/>
    </row>
    <row r="176" spans="3:17">
      <c r="C176" s="655" t="s">
        <v>61</v>
      </c>
      <c r="D176" s="719">
        <v>0.16600000000000001</v>
      </c>
      <c r="E176" s="708">
        <f>D26/((D87+E87)/2)</f>
        <v>0.1588463716527786</v>
      </c>
      <c r="F176" s="708">
        <f>E26/((E87+F87)/2)</f>
        <v>0.18283045305931814</v>
      </c>
      <c r="G176" s="709">
        <f>F26/((F87+G87)/2)</f>
        <v>0.2587075378686024</v>
      </c>
      <c r="H176" s="590"/>
      <c r="I176" s="590">
        <f>AVERAGE(D176:F176)</f>
        <v>0.16922560823736557</v>
      </c>
      <c r="J176" s="590"/>
      <c r="K176" s="590"/>
      <c r="L176" s="590"/>
      <c r="M176" s="590"/>
      <c r="N176" s="590"/>
      <c r="O176" s="590"/>
      <c r="P176" s="590"/>
      <c r="Q176" s="590"/>
    </row>
    <row r="177" spans="3:17">
      <c r="D177" s="710"/>
      <c r="E177" s="710"/>
      <c r="F177" s="706"/>
      <c r="G177" s="598"/>
      <c r="H177" s="590"/>
      <c r="I177" s="590"/>
      <c r="J177" s="590"/>
      <c r="K177" s="590"/>
      <c r="L177" s="590"/>
      <c r="M177" s="590"/>
      <c r="N177" s="590"/>
      <c r="O177" s="590"/>
      <c r="P177" s="590"/>
      <c r="Q177" s="590"/>
    </row>
    <row r="178" spans="3:17">
      <c r="C178" s="711" t="s">
        <v>118</v>
      </c>
      <c r="D178" s="712"/>
      <c r="E178" s="701"/>
      <c r="F178" s="701"/>
      <c r="G178" s="702"/>
      <c r="H178" s="703"/>
      <c r="I178" s="590"/>
      <c r="J178" s="590"/>
      <c r="K178" s="590"/>
      <c r="L178" s="590"/>
      <c r="M178" s="590"/>
      <c r="N178" s="590"/>
      <c r="O178" s="590"/>
      <c r="P178" s="590"/>
      <c r="Q178" s="590"/>
    </row>
    <row r="179" spans="3:17">
      <c r="C179" s="640" t="s">
        <v>117</v>
      </c>
      <c r="D179" s="713" t="s">
        <v>5</v>
      </c>
      <c r="E179" s="706">
        <f>E8/((D60+E60)/2)</f>
        <v>2.3401282822208858</v>
      </c>
      <c r="F179" s="706">
        <f>F8/((E60+F60)/2)</f>
        <v>2.23312835376601</v>
      </c>
      <c r="G179" s="714">
        <f>G8/((F60+G60)/2)</f>
        <v>0.528273474855528</v>
      </c>
      <c r="H179" s="590"/>
      <c r="I179" s="590"/>
      <c r="J179" s="590"/>
      <c r="K179" s="590"/>
      <c r="L179" s="590"/>
      <c r="M179" s="590"/>
      <c r="N179" s="590"/>
      <c r="O179" s="590"/>
      <c r="P179" s="590"/>
      <c r="Q179" s="590"/>
    </row>
    <row r="180" spans="3:17">
      <c r="C180" s="640" t="s">
        <v>116</v>
      </c>
      <c r="D180" s="713" t="s">
        <v>5</v>
      </c>
      <c r="E180" s="706">
        <f>E8/((E43+D43)/2)</f>
        <v>37.098506514140446</v>
      </c>
      <c r="F180" s="706">
        <f>F8/((F43+E43)/2)</f>
        <v>36.23963133640553</v>
      </c>
      <c r="G180" s="714">
        <f>G8/((G43+F43)/2)</f>
        <v>8.9063633366304007</v>
      </c>
      <c r="H180" s="590"/>
      <c r="I180" s="590"/>
      <c r="J180" s="590"/>
      <c r="K180" s="590"/>
      <c r="L180" s="590"/>
      <c r="M180" s="590"/>
      <c r="N180" s="590"/>
      <c r="O180" s="590"/>
      <c r="P180" s="590"/>
      <c r="Q180" s="590"/>
    </row>
    <row r="181" spans="3:17">
      <c r="C181" s="640" t="s">
        <v>115</v>
      </c>
      <c r="D181" s="713" t="s">
        <v>5</v>
      </c>
      <c r="E181" s="706">
        <f>E8/((D44+E44)/2)</f>
        <v>15.43584319428836</v>
      </c>
      <c r="F181" s="706">
        <f>F8/((E44+F44)/2)</f>
        <v>14.565753337165486</v>
      </c>
      <c r="G181" s="714">
        <f>G8/((F44+G44)/2)</f>
        <v>3.2606675116180819</v>
      </c>
      <c r="H181" s="590"/>
      <c r="I181" s="590"/>
      <c r="J181" s="590"/>
      <c r="K181" s="590"/>
      <c r="L181" s="590"/>
      <c r="M181" s="590"/>
      <c r="N181" s="590"/>
      <c r="O181" s="590"/>
      <c r="P181" s="590"/>
      <c r="Q181" s="590"/>
    </row>
    <row r="182" spans="3:17">
      <c r="C182" s="640" t="s">
        <v>114</v>
      </c>
      <c r="D182" s="713" t="s">
        <v>5</v>
      </c>
      <c r="E182" s="706">
        <f>(-E10)/((D65+E65)/2)</f>
        <v>8.8323091247672245</v>
      </c>
      <c r="F182" s="706">
        <f>(-F10)/((E65+F65)/2)</f>
        <v>8.8316282627402227</v>
      </c>
      <c r="G182" s="714">
        <f>(-G10)/((F65+G65)/2)</f>
        <v>2.4153507512680639</v>
      </c>
      <c r="H182" s="590"/>
      <c r="I182" s="590"/>
      <c r="J182" s="590"/>
      <c r="K182" s="590"/>
      <c r="L182" s="590"/>
      <c r="M182" s="590"/>
      <c r="N182" s="590"/>
      <c r="O182" s="590"/>
      <c r="P182" s="590"/>
      <c r="Q182" s="590"/>
    </row>
    <row r="183" spans="3:17">
      <c r="C183" s="640" t="s">
        <v>113</v>
      </c>
      <c r="D183" s="715">
        <f>D161/D8</f>
        <v>-2.8517777543785759E-3</v>
      </c>
      <c r="E183" s="716">
        <f>E161/E8</f>
        <v>2.2783921061422289E-3</v>
      </c>
      <c r="F183" s="716">
        <f>F161/F8</f>
        <v>6.7176482969095331E-3</v>
      </c>
      <c r="G183" s="717">
        <f>G161/G8</f>
        <v>3.5945655795357752E-2</v>
      </c>
      <c r="H183" s="590"/>
      <c r="I183" s="590"/>
      <c r="J183" s="590"/>
      <c r="K183" s="590"/>
      <c r="L183" s="590"/>
      <c r="M183" s="590"/>
      <c r="N183" s="590"/>
      <c r="O183" s="590"/>
      <c r="P183" s="590"/>
      <c r="Q183" s="590"/>
    </row>
    <row r="184" spans="3:17" ht="14.25" customHeight="1">
      <c r="C184" s="654" t="s">
        <v>112</v>
      </c>
      <c r="D184" s="718">
        <f>D54/D8</f>
        <v>0.10758660629672527</v>
      </c>
      <c r="E184" s="719">
        <f>E54/E8</f>
        <v>0.10966260952984608</v>
      </c>
      <c r="F184" s="719">
        <f>F54/F8</f>
        <v>0.11649770231872875</v>
      </c>
      <c r="G184" s="720">
        <f>G54/G8</f>
        <v>0.49194832117869175</v>
      </c>
      <c r="H184" s="590"/>
      <c r="I184" s="590"/>
      <c r="J184" s="590"/>
      <c r="K184" s="590"/>
      <c r="L184" s="590"/>
      <c r="M184" s="590"/>
      <c r="N184" s="590"/>
      <c r="O184" s="590"/>
      <c r="P184" s="590"/>
      <c r="Q184" s="590"/>
    </row>
    <row r="185" spans="3:17" ht="14.25" customHeight="1">
      <c r="C185" s="590"/>
      <c r="D185" s="706"/>
      <c r="E185" s="706"/>
      <c r="F185" s="706"/>
      <c r="G185" s="598"/>
      <c r="H185" s="590"/>
      <c r="I185" s="590"/>
      <c r="J185" s="590"/>
      <c r="K185" s="590"/>
      <c r="L185" s="590"/>
      <c r="M185" s="590"/>
      <c r="N185" s="590"/>
      <c r="O185" s="590"/>
      <c r="P185" s="590"/>
      <c r="Q185" s="590"/>
    </row>
    <row r="186" spans="3:17">
      <c r="C186" s="677" t="s">
        <v>111</v>
      </c>
      <c r="D186" s="701"/>
      <c r="E186" s="701"/>
      <c r="F186" s="701"/>
      <c r="G186" s="702"/>
      <c r="H186" s="703"/>
      <c r="I186" s="590"/>
      <c r="J186" s="590"/>
      <c r="K186" s="590"/>
      <c r="L186" s="590"/>
      <c r="M186" s="590"/>
      <c r="N186" s="590"/>
      <c r="O186" s="590"/>
      <c r="P186" s="590"/>
      <c r="Q186" s="590"/>
    </row>
    <row r="187" spans="3:17">
      <c r="C187" s="652" t="s">
        <v>110</v>
      </c>
      <c r="D187" s="706">
        <f>D49/D69</f>
        <v>0.86799733865602124</v>
      </c>
      <c r="E187" s="706">
        <f>E49/E69</f>
        <v>1.0315115286080272</v>
      </c>
      <c r="F187" s="706">
        <f>F49/F69</f>
        <v>0.98599021802205078</v>
      </c>
      <c r="G187" s="714">
        <f>G49/G69</f>
        <v>1.0641153910288474</v>
      </c>
      <c r="H187" s="590"/>
      <c r="I187" s="590"/>
      <c r="J187" s="590"/>
      <c r="K187" s="590"/>
      <c r="L187" s="590"/>
      <c r="M187" s="590"/>
      <c r="N187" s="590"/>
      <c r="O187" s="590"/>
      <c r="P187" s="590"/>
      <c r="Q187" s="590"/>
    </row>
    <row r="188" spans="3:17">
      <c r="C188" s="685" t="s">
        <v>109</v>
      </c>
      <c r="D188" s="706">
        <f>(D42+D43)/D69</f>
        <v>0.36979374584164998</v>
      </c>
      <c r="E188" s="706">
        <f>(E42+E43)/E69</f>
        <v>0.34363791631084545</v>
      </c>
      <c r="F188" s="706">
        <f>(F42+F43)/F69</f>
        <v>0.31584183039045011</v>
      </c>
      <c r="G188" s="714">
        <f>(G42+G43)/G69</f>
        <v>0.3015674503918625</v>
      </c>
      <c r="H188" s="590"/>
      <c r="I188" s="590"/>
      <c r="J188" s="590"/>
      <c r="K188" s="590"/>
      <c r="L188" s="590"/>
      <c r="M188" s="590"/>
      <c r="N188" s="590"/>
      <c r="O188" s="590"/>
      <c r="P188" s="590"/>
      <c r="Q188" s="590"/>
    </row>
    <row r="189" spans="3:17">
      <c r="C189" s="685" t="s">
        <v>108</v>
      </c>
      <c r="D189" s="706">
        <f>D42/D69</f>
        <v>0.16999334664005322</v>
      </c>
      <c r="E189" s="706">
        <f>E42/E69</f>
        <v>6.2596071733561062E-2</v>
      </c>
      <c r="F189" s="706">
        <f>F42/F69</f>
        <v>6.6981679515874984E-2</v>
      </c>
      <c r="G189" s="714">
        <f>G42/G69</f>
        <v>4.610638652659662E-2</v>
      </c>
      <c r="H189" s="590"/>
      <c r="I189" s="590"/>
      <c r="J189" s="590"/>
      <c r="K189" s="590"/>
      <c r="L189" s="590"/>
      <c r="M189" s="590"/>
      <c r="N189" s="590"/>
      <c r="O189" s="590"/>
      <c r="P189" s="590"/>
      <c r="Q189" s="590"/>
    </row>
    <row r="190" spans="3:17">
      <c r="C190" s="685" t="s">
        <v>107</v>
      </c>
      <c r="D190" s="706">
        <f>(D26+D112)/D69</f>
        <v>0.75622089155023231</v>
      </c>
      <c r="E190" s="706">
        <f>(E26+E112)/E69</f>
        <v>1.0836891545687448</v>
      </c>
      <c r="F190" s="706">
        <f>(F26+F112)/F69</f>
        <v>1.2709939484373698</v>
      </c>
      <c r="G190" s="714">
        <f>(G26+G112)/G69</f>
        <v>0.23094880773720186</v>
      </c>
      <c r="H190" s="590"/>
      <c r="I190" s="590"/>
      <c r="J190" s="590"/>
      <c r="K190" s="590"/>
      <c r="L190" s="590"/>
      <c r="M190" s="590"/>
      <c r="N190" s="590"/>
      <c r="O190" s="590"/>
      <c r="P190" s="590"/>
      <c r="Q190" s="590"/>
    </row>
    <row r="191" spans="3:17">
      <c r="C191" s="685" t="s">
        <v>106</v>
      </c>
      <c r="D191" s="706">
        <f>(D42+D43)/((-D10)/365)</f>
        <v>21.735128996314387</v>
      </c>
      <c r="E191" s="706">
        <f>(E42+E43)/((-E10)/365)</f>
        <v>15.483612519634407</v>
      </c>
      <c r="F191" s="706">
        <f>(F42+F43)/((-F10)/365)</f>
        <v>15.0552127314063</v>
      </c>
      <c r="G191" s="714">
        <f>(G42+G43)/((-G10)/365)</f>
        <v>52.310206830969165</v>
      </c>
      <c r="H191" s="590"/>
      <c r="I191" s="590"/>
      <c r="J191" s="590"/>
      <c r="K191" s="590"/>
      <c r="L191" s="590"/>
      <c r="M191" s="590"/>
      <c r="N191" s="590"/>
      <c r="O191" s="590"/>
      <c r="P191" s="590"/>
      <c r="Q191" s="590"/>
    </row>
    <row r="192" spans="3:17">
      <c r="C192" s="685" t="s">
        <v>105</v>
      </c>
      <c r="D192" s="706" t="s">
        <v>5</v>
      </c>
      <c r="E192" s="706">
        <f t="shared" ref="E192:F194" si="0">365/E180</f>
        <v>9.8386709950406441</v>
      </c>
      <c r="F192" s="706">
        <f t="shared" si="0"/>
        <v>10.071846388606307</v>
      </c>
      <c r="G192" s="714">
        <f>365/G180</f>
        <v>40.981934624069886</v>
      </c>
      <c r="H192" s="590"/>
      <c r="I192" s="590"/>
      <c r="J192" s="590"/>
      <c r="K192" s="590"/>
      <c r="L192" s="590"/>
      <c r="M192" s="590"/>
      <c r="N192" s="590"/>
      <c r="O192" s="590"/>
      <c r="P192" s="590"/>
      <c r="Q192" s="590"/>
    </row>
    <row r="193" spans="3:17">
      <c r="C193" s="652" t="s">
        <v>104</v>
      </c>
      <c r="D193" s="706" t="s">
        <v>5</v>
      </c>
      <c r="E193" s="590">
        <f t="shared" si="0"/>
        <v>23.646262494753699</v>
      </c>
      <c r="F193" s="590">
        <f t="shared" si="0"/>
        <v>25.058779422597958</v>
      </c>
      <c r="G193" s="598">
        <f>365/G181</f>
        <v>111.94026949987044</v>
      </c>
      <c r="H193" s="590"/>
      <c r="I193" s="590"/>
      <c r="J193" s="590"/>
      <c r="K193" s="590"/>
      <c r="L193" s="590"/>
      <c r="M193" s="590"/>
      <c r="N193" s="590"/>
      <c r="O193" s="590"/>
      <c r="P193" s="590"/>
      <c r="Q193" s="590"/>
    </row>
    <row r="194" spans="3:17">
      <c r="C194" s="685" t="s">
        <v>103</v>
      </c>
      <c r="D194" s="706" t="s">
        <v>5</v>
      </c>
      <c r="E194" s="590">
        <f t="shared" si="0"/>
        <v>41.325546337195206</v>
      </c>
      <c r="F194" s="590">
        <f t="shared" si="0"/>
        <v>41.328732272382815</v>
      </c>
      <c r="G194" s="598">
        <f>365/G182</f>
        <v>151.11676836516364</v>
      </c>
      <c r="H194" s="590"/>
      <c r="I194" s="590"/>
      <c r="J194" s="590"/>
      <c r="K194" s="590"/>
      <c r="L194" s="590"/>
      <c r="M194" s="590"/>
      <c r="N194" s="590"/>
      <c r="O194" s="590"/>
      <c r="P194" s="590"/>
      <c r="Q194" s="590"/>
    </row>
    <row r="195" spans="3:17">
      <c r="C195" s="688" t="s">
        <v>102</v>
      </c>
      <c r="D195" s="707" t="s">
        <v>5</v>
      </c>
      <c r="E195" s="615">
        <f>E192+E193-E194</f>
        <v>-7.8406128474008625</v>
      </c>
      <c r="F195" s="615">
        <f>F192+F193-F194</f>
        <v>-6.198106461178547</v>
      </c>
      <c r="G195" s="608">
        <f>G192+G193-G194</f>
        <v>1.8054357587766958</v>
      </c>
      <c r="H195" s="590"/>
      <c r="I195" s="590"/>
      <c r="J195" s="590"/>
      <c r="K195" s="590"/>
      <c r="L195" s="590"/>
      <c r="M195" s="590"/>
      <c r="N195" s="590"/>
      <c r="O195" s="590"/>
      <c r="P195" s="590"/>
      <c r="Q195" s="590"/>
    </row>
    <row r="196" spans="3:17">
      <c r="C196" s="721"/>
      <c r="D196" s="590"/>
      <c r="E196" s="590"/>
      <c r="F196" s="590"/>
      <c r="G196" s="666"/>
      <c r="H196" s="590"/>
      <c r="I196" s="590"/>
      <c r="J196" s="590"/>
      <c r="K196" s="590"/>
      <c r="L196" s="590"/>
      <c r="M196" s="590"/>
      <c r="N196" s="590"/>
      <c r="O196" s="590"/>
      <c r="P196" s="590"/>
      <c r="Q196" s="590"/>
    </row>
    <row r="197" spans="3:17">
      <c r="C197" s="677" t="s">
        <v>101</v>
      </c>
      <c r="D197" s="597"/>
      <c r="E197" s="597"/>
      <c r="F197" s="597"/>
      <c r="G197" s="619"/>
      <c r="H197" s="703"/>
      <c r="I197" s="590"/>
      <c r="J197" s="590"/>
      <c r="K197" s="590"/>
      <c r="L197" s="590"/>
      <c r="M197" s="590"/>
      <c r="N197" s="590"/>
      <c r="O197" s="590"/>
      <c r="P197" s="590"/>
      <c r="Q197" s="590"/>
    </row>
    <row r="198" spans="3:17">
      <c r="C198" s="685" t="s">
        <v>100</v>
      </c>
      <c r="D198" s="696">
        <f>D77/D87</f>
        <v>1.011878464552161</v>
      </c>
      <c r="E198" s="696">
        <f>E77/E87</f>
        <v>1.0238497505009627</v>
      </c>
      <c r="F198" s="696">
        <f>F77/F87</f>
        <v>0.80291372800455951</v>
      </c>
      <c r="G198" s="697">
        <f>G77/G87</f>
        <v>0.86402511637977719</v>
      </c>
      <c r="H198" s="590"/>
      <c r="I198" s="590"/>
      <c r="J198" s="590"/>
      <c r="K198" s="590"/>
      <c r="L198" s="590"/>
      <c r="M198" s="590"/>
      <c r="N198" s="590"/>
      <c r="O198" s="590"/>
      <c r="P198" s="590"/>
      <c r="Q198" s="590"/>
    </row>
    <row r="199" spans="3:17">
      <c r="C199" s="685" t="s">
        <v>99</v>
      </c>
      <c r="D199" s="696">
        <f>(D71+D75+D68+D74)/D87</f>
        <v>0.4862668278247822</v>
      </c>
      <c r="E199" s="696">
        <f>(E71+E75+E68+E74)/E87</f>
        <v>0.45090566186004477</v>
      </c>
      <c r="F199" s="696">
        <f>(F71+F75+F68+F74)/F87</f>
        <v>0.2940086913158082</v>
      </c>
      <c r="G199" s="697">
        <f>(G71+G75+G68+G74)/G87</f>
        <v>0.35303670022734651</v>
      </c>
      <c r="H199" s="590"/>
      <c r="I199" s="590"/>
      <c r="J199" s="590"/>
      <c r="K199" s="590"/>
      <c r="L199" s="590"/>
      <c r="M199" s="590"/>
      <c r="N199" s="590"/>
      <c r="O199" s="590"/>
      <c r="P199" s="590"/>
      <c r="Q199" s="590"/>
    </row>
    <row r="200" spans="3:17">
      <c r="C200" s="652" t="s">
        <v>98</v>
      </c>
      <c r="D200" s="696">
        <f>(D71+D75+D68+D74)/D60</f>
        <v>0.24169791386132464</v>
      </c>
      <c r="E200" s="696">
        <f>(E71+E75+E68+E74)/E60</f>
        <v>0.22279601623017337</v>
      </c>
      <c r="F200" s="696">
        <f>(F71+F75+F68+F74)/F60</f>
        <v>0.16307418749382593</v>
      </c>
      <c r="G200" s="697">
        <f>(G71+G75+G68+G74)/G60</f>
        <v>0.18939481937507258</v>
      </c>
      <c r="H200" s="590"/>
      <c r="I200" s="590"/>
      <c r="J200" s="590"/>
      <c r="K200" s="590"/>
      <c r="L200" s="590"/>
      <c r="M200" s="590"/>
      <c r="N200" s="590"/>
      <c r="O200" s="590"/>
      <c r="P200" s="590"/>
      <c r="Q200" s="590"/>
    </row>
    <row r="201" spans="3:17">
      <c r="C201" s="685" t="s">
        <v>97</v>
      </c>
      <c r="D201" s="696">
        <f>(D75+D71+D68+D64-D42)/D87</f>
        <v>0.33030467219605714</v>
      </c>
      <c r="E201" s="696">
        <f>(E75+E71+E68+E64-E42)/E87</f>
        <v>0.36419001218026797</v>
      </c>
      <c r="F201" s="696">
        <f>(F75+F71+F68+F64-F42)/F87</f>
        <v>0.21290161715466269</v>
      </c>
      <c r="G201" s="697">
        <f>(G75+G71+G68+G64-G42)/G87</f>
        <v>0.28035798058532713</v>
      </c>
      <c r="H201" s="590"/>
      <c r="I201" s="590"/>
      <c r="J201" s="590"/>
      <c r="K201" s="590"/>
      <c r="L201" s="590"/>
      <c r="M201" s="590"/>
      <c r="N201" s="590"/>
      <c r="O201" s="590"/>
      <c r="P201" s="590"/>
      <c r="Q201" s="590"/>
    </row>
    <row r="202" spans="3:17">
      <c r="C202" s="652" t="s">
        <v>96</v>
      </c>
      <c r="D202" s="590">
        <f>(D71+D68)/(D68+D71+D87)</f>
        <v>0.30122903075489282</v>
      </c>
      <c r="E202" s="590">
        <f>(E71+E68)/(E68+E71+E87)</f>
        <v>0.27923310016708675</v>
      </c>
      <c r="F202" s="590">
        <f>(F71+F68)/(F68+F71+F87)</f>
        <v>0.19090437489192458</v>
      </c>
      <c r="G202" s="598">
        <f>(G71+G68)/(G68+G71+G87)</f>
        <v>0.2269214674292091</v>
      </c>
      <c r="H202" s="590"/>
      <c r="I202" s="590"/>
      <c r="J202" s="590"/>
      <c r="K202" s="590"/>
      <c r="L202" s="590"/>
      <c r="M202" s="590"/>
      <c r="N202" s="590"/>
      <c r="O202" s="590"/>
      <c r="P202" s="590"/>
      <c r="Q202" s="590"/>
    </row>
    <row r="203" spans="3:17">
      <c r="C203" s="652" t="s">
        <v>95</v>
      </c>
      <c r="D203" s="590">
        <f>(D26+((-D16)*(1-D162)))/(-D16)</f>
        <v>10.18265060240962</v>
      </c>
      <c r="E203" s="590">
        <f>(E26+((-E16)*(1-E162)))/(-E16)</f>
        <v>11.28025862068966</v>
      </c>
      <c r="F203" s="590">
        <f>(F26+((-F16)*(1-F162)))/(-F16)</f>
        <v>18.292177615571756</v>
      </c>
      <c r="G203" s="598">
        <f>(G26+((-G16)*(1-G162)))/(-G16)</f>
        <v>10.366067961165047</v>
      </c>
      <c r="H203" s="590"/>
      <c r="I203" s="590"/>
      <c r="J203" s="590"/>
      <c r="K203" s="590"/>
      <c r="L203" s="590"/>
      <c r="M203" s="590"/>
      <c r="N203" s="590"/>
      <c r="O203" s="590"/>
      <c r="P203" s="590"/>
      <c r="Q203" s="590"/>
    </row>
    <row r="204" spans="3:17">
      <c r="C204" s="652" t="s">
        <v>94</v>
      </c>
      <c r="D204" s="590">
        <f>D13/(-D16)</f>
        <v>17.443373493975884</v>
      </c>
      <c r="E204" s="590">
        <f>E13/(-E16)</f>
        <v>17.734913793103452</v>
      </c>
      <c r="F204" s="590">
        <f>F13/(-F16)</f>
        <v>19.007299270072977</v>
      </c>
      <c r="G204" s="598">
        <f>G13/(-G16)</f>
        <v>16.61165048543689</v>
      </c>
      <c r="H204" s="590">
        <f>(12.9+12.9+13.9)/3</f>
        <v>13.233333333333334</v>
      </c>
      <c r="I204" s="590"/>
      <c r="J204" s="590"/>
      <c r="K204" s="590"/>
      <c r="L204" s="590"/>
      <c r="M204" s="590"/>
      <c r="N204" s="590"/>
      <c r="O204" s="590"/>
      <c r="P204" s="590"/>
      <c r="Q204" s="590"/>
    </row>
    <row r="205" spans="3:17">
      <c r="C205" s="652" t="s">
        <v>93</v>
      </c>
      <c r="D205" s="590">
        <f>(D26+(-D16))/(-D16)</f>
        <v>10.462650602409619</v>
      </c>
      <c r="E205" s="590">
        <f>(E26+(-E16))/(-E16)</f>
        <v>11.545258620689658</v>
      </c>
      <c r="F205" s="590">
        <f>(F26+(-F16))/(-F16)</f>
        <v>18.557177615571756</v>
      </c>
      <c r="G205" s="598">
        <f>(G26+(-G16))/(-G16)</f>
        <v>10.631067961165048</v>
      </c>
      <c r="H205" s="590"/>
      <c r="I205" s="590"/>
      <c r="J205" s="590"/>
      <c r="K205" s="590"/>
      <c r="L205" s="590"/>
      <c r="M205" s="590"/>
      <c r="N205" s="590"/>
      <c r="O205" s="590"/>
      <c r="P205" s="590"/>
      <c r="Q205" s="590"/>
    </row>
    <row r="206" spans="3:17">
      <c r="C206" s="652" t="s">
        <v>92</v>
      </c>
      <c r="D206" s="590">
        <f>(D117+(-D16))/(-D16)</f>
        <v>14.069879518072291</v>
      </c>
      <c r="E206" s="590">
        <f>(E117+(-E16))/(-E16)</f>
        <v>12.769396551724141</v>
      </c>
      <c r="F206" s="590">
        <f>(F117+(-F16))/(-F16)</f>
        <v>14.790754257907544</v>
      </c>
      <c r="G206" s="598">
        <f>(G117+(-G16))/(-G16)</f>
        <v>3.087378640776699</v>
      </c>
      <c r="H206" s="590"/>
      <c r="I206" s="590"/>
      <c r="J206" s="590"/>
      <c r="K206" s="590"/>
      <c r="L206" s="590"/>
      <c r="M206" s="590"/>
      <c r="N206" s="590"/>
      <c r="O206" s="590"/>
      <c r="P206" s="590"/>
      <c r="Q206" s="590"/>
    </row>
    <row r="207" spans="3:17">
      <c r="C207" s="688" t="s">
        <v>91</v>
      </c>
      <c r="D207" s="615">
        <f>D154/(-D16)</f>
        <v>10.22120481927711</v>
      </c>
      <c r="E207" s="615">
        <f>E154/(-E16)</f>
        <v>7.9677586206896596</v>
      </c>
      <c r="F207" s="615">
        <f>F154/(-F16)</f>
        <v>9.4551946472019477</v>
      </c>
      <c r="G207" s="608">
        <f>G154/(-G16)</f>
        <v>-1.420339805825243</v>
      </c>
      <c r="H207" s="590"/>
      <c r="I207" s="590"/>
      <c r="J207" s="590"/>
      <c r="K207" s="590"/>
      <c r="L207" s="590"/>
      <c r="M207" s="590"/>
      <c r="N207" s="590"/>
      <c r="O207" s="590"/>
      <c r="P207" s="590"/>
      <c r="Q207" s="590"/>
    </row>
    <row r="208" spans="3:17">
      <c r="F208" s="590"/>
      <c r="G208" s="666"/>
      <c r="H208" s="590"/>
      <c r="I208" s="590"/>
      <c r="J208" s="590"/>
      <c r="K208" s="590"/>
      <c r="L208" s="590"/>
      <c r="M208" s="590"/>
      <c r="N208" s="590"/>
      <c r="O208" s="590"/>
      <c r="P208" s="590"/>
      <c r="Q208" s="590"/>
    </row>
    <row r="209" spans="3:17">
      <c r="C209" s="711" t="s">
        <v>90</v>
      </c>
      <c r="D209" s="722"/>
      <c r="E209" s="723"/>
      <c r="F209" s="723"/>
      <c r="G209" s="619"/>
      <c r="H209" s="703"/>
      <c r="I209" s="590"/>
      <c r="J209" s="590"/>
      <c r="K209" s="590"/>
      <c r="L209" s="590"/>
      <c r="M209" s="590"/>
      <c r="N209" s="590"/>
      <c r="O209" s="590"/>
      <c r="P209" s="590"/>
      <c r="Q209" s="590"/>
    </row>
    <row r="210" spans="3:17">
      <c r="C210" s="640" t="s">
        <v>86</v>
      </c>
      <c r="D210" s="724">
        <f>D36/D157</f>
        <v>1.6726336988140526E-2</v>
      </c>
      <c r="E210" s="696">
        <f>E36/E157</f>
        <v>1.4340753424657534E-2</v>
      </c>
      <c r="F210" s="696">
        <f>F36/F157</f>
        <v>1.4905776953969725E-2</v>
      </c>
      <c r="G210" s="697">
        <f>G36/G157</f>
        <v>4.5857535921736466E-3</v>
      </c>
      <c r="H210" s="590"/>
      <c r="I210" s="590"/>
      <c r="J210" s="590"/>
      <c r="K210" s="590"/>
    </row>
    <row r="211" spans="3:17">
      <c r="C211" s="654" t="s">
        <v>85</v>
      </c>
      <c r="D211" s="725">
        <f>D36/D31</f>
        <v>0.19722955145118734</v>
      </c>
      <c r="E211" s="698">
        <f>E36/E31</f>
        <v>0.17303719008264465</v>
      </c>
      <c r="F211" s="698">
        <f>F36/F31</f>
        <v>0.12935656836461126</v>
      </c>
      <c r="G211" s="726">
        <f>G36/G31</f>
        <v>0.28301886792452829</v>
      </c>
      <c r="H211" s="590"/>
      <c r="I211" s="590"/>
      <c r="J211" s="590"/>
      <c r="K211" s="590"/>
    </row>
    <row r="212" spans="3:17">
      <c r="D212" s="727"/>
      <c r="E212" s="727"/>
      <c r="F212" s="696"/>
      <c r="G212" s="666"/>
      <c r="H212" s="590"/>
      <c r="I212" s="590"/>
      <c r="J212" s="590"/>
      <c r="K212" s="590"/>
    </row>
    <row r="213" spans="3:17">
      <c r="C213" s="711" t="s">
        <v>258</v>
      </c>
      <c r="D213" s="648"/>
      <c r="E213" s="597"/>
      <c r="F213" s="597"/>
      <c r="G213" s="598"/>
      <c r="H213" s="590"/>
      <c r="I213" s="590"/>
      <c r="J213" s="590"/>
      <c r="K213" s="590"/>
    </row>
    <row r="214" spans="3:17">
      <c r="C214" s="640" t="s">
        <v>89</v>
      </c>
      <c r="D214" s="640">
        <f>D36</f>
        <v>0.74750000000000005</v>
      </c>
      <c r="E214" s="590">
        <f>E36</f>
        <v>0.83750000000000002</v>
      </c>
      <c r="F214" s="590">
        <f>F36</f>
        <v>0.96499999999999997</v>
      </c>
      <c r="G214" s="598">
        <f>G36</f>
        <v>0.3</v>
      </c>
      <c r="H214" s="590"/>
      <c r="I214" s="590"/>
      <c r="J214" s="590"/>
      <c r="K214" s="590"/>
    </row>
    <row r="215" spans="3:17">
      <c r="C215" s="640" t="s">
        <v>88</v>
      </c>
      <c r="D215" s="640">
        <f>D214/4</f>
        <v>0.18687500000000001</v>
      </c>
      <c r="E215" s="590">
        <f>E214/4</f>
        <v>0.20937500000000001</v>
      </c>
      <c r="F215" s="590">
        <f>F214/4</f>
        <v>0.24124999999999999</v>
      </c>
      <c r="G215" s="598">
        <f>G214/4</f>
        <v>7.4999999999999997E-2</v>
      </c>
      <c r="H215" s="590"/>
      <c r="I215" s="590"/>
      <c r="J215" s="590"/>
      <c r="K215" s="590"/>
    </row>
    <row r="216" spans="3:17">
      <c r="C216" s="640" t="s">
        <v>87</v>
      </c>
      <c r="D216" s="640">
        <f>D159</f>
        <v>103.6</v>
      </c>
      <c r="E216" s="590">
        <f>E159</f>
        <v>99.6</v>
      </c>
      <c r="F216" s="590">
        <f>F159</f>
        <v>95.5</v>
      </c>
      <c r="G216" s="598">
        <f>G159</f>
        <v>91.5</v>
      </c>
      <c r="H216" s="590"/>
      <c r="I216" s="590"/>
      <c r="J216" s="590"/>
      <c r="K216" s="590"/>
    </row>
    <row r="217" spans="3:17">
      <c r="C217" s="640" t="s">
        <v>86</v>
      </c>
      <c r="D217" s="724">
        <f>D214/D157</f>
        <v>1.6726336988140526E-2</v>
      </c>
      <c r="E217" s="696">
        <f>E214/E157</f>
        <v>1.4340753424657534E-2</v>
      </c>
      <c r="F217" s="696">
        <f>F214/F157</f>
        <v>1.4905776953969725E-2</v>
      </c>
      <c r="G217" s="697">
        <f>G214/G157</f>
        <v>4.5857535921736466E-3</v>
      </c>
      <c r="H217" s="590"/>
      <c r="I217" s="590"/>
      <c r="J217" s="590"/>
      <c r="K217" s="590"/>
    </row>
    <row r="218" spans="3:17">
      <c r="C218" s="654" t="s">
        <v>85</v>
      </c>
      <c r="D218" s="725">
        <f>D214/D31</f>
        <v>0.19722955145118734</v>
      </c>
      <c r="E218" s="698">
        <f>E214/E31</f>
        <v>0.17303719008264465</v>
      </c>
      <c r="F218" s="698">
        <f>F214/F31</f>
        <v>0.12935656836461126</v>
      </c>
      <c r="G218" s="726">
        <f>G214/G31</f>
        <v>0.28301886792452829</v>
      </c>
      <c r="H218" s="590"/>
      <c r="I218" s="590"/>
      <c r="J218" s="590"/>
      <c r="K218" s="590"/>
    </row>
    <row r="219" spans="3:17">
      <c r="F219" s="590"/>
      <c r="G219" s="666"/>
      <c r="H219" s="590"/>
      <c r="I219" s="590"/>
      <c r="J219" s="590"/>
      <c r="K219" s="590"/>
    </row>
    <row r="220" spans="3:17">
      <c r="C220" s="711" t="s">
        <v>84</v>
      </c>
      <c r="D220" s="648"/>
      <c r="E220" s="597"/>
      <c r="F220" s="597"/>
      <c r="G220" s="619"/>
      <c r="H220" s="703"/>
      <c r="I220" s="590"/>
      <c r="J220" s="590"/>
      <c r="K220" s="590"/>
    </row>
    <row r="221" spans="3:17">
      <c r="C221" s="640" t="s">
        <v>83</v>
      </c>
      <c r="D221" s="640">
        <f>D157/D31</f>
        <v>11.791556728232189</v>
      </c>
      <c r="E221" s="590">
        <f>E157/E31</f>
        <v>12.066115702479339</v>
      </c>
      <c r="F221" s="590">
        <f>F157/F31</f>
        <v>8.6782841823056298</v>
      </c>
      <c r="G221" s="598">
        <f>G157/G31</f>
        <v>61.716981132075468</v>
      </c>
      <c r="H221" s="590"/>
      <c r="I221" s="590"/>
      <c r="J221" s="590"/>
      <c r="K221" s="590"/>
    </row>
    <row r="222" spans="3:17">
      <c r="C222" s="640" t="s">
        <v>82</v>
      </c>
      <c r="D222" s="728">
        <f>D157/(D87/D158)</f>
        <v>1.9203680240070016</v>
      </c>
      <c r="E222" s="729">
        <f>E157/(E87/E158)</f>
        <v>2.2693646615064242</v>
      </c>
      <c r="F222" s="729">
        <f>F157/(F87/F158)</f>
        <v>2.1861337892712114</v>
      </c>
      <c r="G222" s="730">
        <f>G157/(G87/G158)</f>
        <v>2.1459629749918809</v>
      </c>
      <c r="H222" s="590"/>
      <c r="I222" s="590"/>
      <c r="J222" s="590"/>
      <c r="K222" s="590"/>
    </row>
    <row r="223" spans="3:17">
      <c r="C223" s="640" t="s">
        <v>81</v>
      </c>
      <c r="D223" s="728">
        <f>D157/(D8/D158)</f>
        <v>0.40429776069636025</v>
      </c>
      <c r="E223" s="729">
        <f>E157/(E8/E158)</f>
        <v>0.49471601469819876</v>
      </c>
      <c r="F223" s="729">
        <f>F157/(F8/F158)</f>
        <v>0.53823201318974279</v>
      </c>
      <c r="G223" s="730">
        <f>G157/(G8/G158)</f>
        <v>2.201413393551253</v>
      </c>
      <c r="H223" s="590"/>
      <c r="I223" s="590"/>
      <c r="J223" s="590"/>
      <c r="K223" s="590"/>
    </row>
    <row r="224" spans="3:17">
      <c r="C224" s="654" t="s">
        <v>80</v>
      </c>
      <c r="D224" s="725">
        <f>1/D221</f>
        <v>8.4806444394719183E-2</v>
      </c>
      <c r="E224" s="698">
        <f>1/E221</f>
        <v>8.287671232876713E-2</v>
      </c>
      <c r="F224" s="698">
        <f>1/F221</f>
        <v>0.11523015137472969</v>
      </c>
      <c r="G224" s="726">
        <f>1/G221</f>
        <v>1.6202996025680223E-2</v>
      </c>
      <c r="H224" s="590"/>
      <c r="I224" s="590"/>
      <c r="J224" s="590"/>
      <c r="K224" s="590"/>
      <c r="L224" s="590"/>
      <c r="M224" s="590"/>
      <c r="N224" s="590"/>
      <c r="O224" s="590"/>
    </row>
    <row r="225" spans="3:15" ht="14" thickBot="1">
      <c r="C225" s="686"/>
      <c r="D225" s="731"/>
      <c r="E225" s="731"/>
      <c r="F225" s="731"/>
      <c r="G225" s="683"/>
      <c r="H225" s="590"/>
      <c r="I225" s="590"/>
      <c r="J225" s="590"/>
      <c r="K225" s="590"/>
      <c r="L225" s="590"/>
      <c r="M225" s="590"/>
      <c r="N225" s="590"/>
      <c r="O225" s="590"/>
    </row>
    <row r="226" spans="3:15">
      <c r="F226" s="590"/>
      <c r="G226" s="598"/>
      <c r="H226" s="590"/>
      <c r="I226" s="590"/>
      <c r="J226" s="590"/>
      <c r="K226" s="590"/>
      <c r="L226" s="590"/>
      <c r="M226" s="590"/>
      <c r="N226" s="590"/>
      <c r="O226" s="590"/>
    </row>
    <row r="227" spans="3:15" ht="18">
      <c r="C227" s="732" t="s">
        <v>79</v>
      </c>
      <c r="D227" s="706"/>
      <c r="E227" s="706"/>
      <c r="F227" s="706"/>
      <c r="G227" s="714"/>
      <c r="H227" s="590"/>
      <c r="I227" s="590"/>
      <c r="J227" s="590"/>
      <c r="K227" s="590"/>
      <c r="L227" s="590"/>
      <c r="M227" s="590"/>
      <c r="N227" s="590"/>
      <c r="O227" s="590"/>
    </row>
    <row r="228" spans="3:15" s="590" customFormat="1">
      <c r="C228" s="637"/>
      <c r="D228" s="733" t="s">
        <v>65</v>
      </c>
      <c r="E228" s="733" t="s">
        <v>64</v>
      </c>
      <c r="F228" s="733" t="s">
        <v>63</v>
      </c>
      <c r="G228" s="734" t="s">
        <v>368</v>
      </c>
      <c r="H228" s="604"/>
      <c r="I228" s="604"/>
      <c r="J228" s="604"/>
      <c r="M228" s="617"/>
      <c r="N228" s="617"/>
    </row>
    <row r="229" spans="3:15" s="590" customFormat="1">
      <c r="C229" s="649" t="s">
        <v>22</v>
      </c>
      <c r="D229" s="713">
        <v>11396.4</v>
      </c>
      <c r="E229" s="735">
        <v>11674.9</v>
      </c>
      <c r="F229" s="735">
        <v>11402.8</v>
      </c>
      <c r="G229" s="736">
        <v>2701.3</v>
      </c>
      <c r="H229" s="737"/>
      <c r="I229" s="737"/>
      <c r="J229" s="737"/>
    </row>
    <row r="230" spans="3:15" s="590" customFormat="1">
      <c r="C230" s="652" t="s">
        <v>78</v>
      </c>
      <c r="D230" s="706">
        <v>544.6</v>
      </c>
      <c r="E230" s="735">
        <v>639</v>
      </c>
      <c r="F230" s="735">
        <v>601.6</v>
      </c>
      <c r="G230" s="736">
        <v>131</v>
      </c>
      <c r="H230" s="737"/>
      <c r="I230" s="737"/>
      <c r="J230" s="737"/>
    </row>
    <row r="231" spans="3:15" s="590" customFormat="1">
      <c r="C231" s="652" t="s">
        <v>77</v>
      </c>
      <c r="D231" s="706">
        <v>329.7</v>
      </c>
      <c r="E231" s="735">
        <v>489.3</v>
      </c>
      <c r="F231" s="735">
        <v>721.6</v>
      </c>
      <c r="G231" s="736">
        <v>99.2</v>
      </c>
      <c r="H231" s="737"/>
      <c r="I231" s="737"/>
      <c r="J231" s="737"/>
    </row>
    <row r="232" spans="3:15" s="590" customFormat="1">
      <c r="C232" s="652" t="s">
        <v>76</v>
      </c>
      <c r="D232" s="704">
        <f>D230/D229</f>
        <v>4.7787020462602227E-2</v>
      </c>
      <c r="E232" s="704">
        <f>E230/E229</f>
        <v>5.4732802850559752E-2</v>
      </c>
      <c r="F232" s="704">
        <f>F230/F229</f>
        <v>5.2758971480688956E-2</v>
      </c>
      <c r="G232" s="705">
        <v>4.82E-2</v>
      </c>
    </row>
    <row r="233" spans="3:15" s="590" customFormat="1">
      <c r="C233" s="652" t="s">
        <v>75</v>
      </c>
      <c r="D233" s="704">
        <f>D231/D229</f>
        <v>2.8930188480572813E-2</v>
      </c>
      <c r="E233" s="704">
        <f>E231/E229</f>
        <v>4.1910423215616409E-2</v>
      </c>
      <c r="F233" s="704">
        <f>F231/F229</f>
        <v>6.3282702494124252E-2</v>
      </c>
      <c r="G233" s="705">
        <v>3.6700000000000003E-2</v>
      </c>
    </row>
    <row r="234" spans="3:15" s="590" customFormat="1">
      <c r="C234" s="652" t="s">
        <v>74</v>
      </c>
      <c r="D234" s="706">
        <v>4827.1000000000004</v>
      </c>
      <c r="E234" s="735">
        <v>5150.8999999999996</v>
      </c>
      <c r="F234" s="735">
        <v>5061.5</v>
      </c>
      <c r="G234" s="736">
        <v>5165.3999999999996</v>
      </c>
      <c r="H234" s="737"/>
      <c r="I234" s="737"/>
      <c r="J234" s="737"/>
    </row>
    <row r="235" spans="3:15" s="590" customFormat="1">
      <c r="C235" s="652" t="s">
        <v>23</v>
      </c>
      <c r="D235" s="706">
        <v>2399.3000000000002</v>
      </c>
      <c r="E235" s="735">
        <v>2545.1</v>
      </c>
      <c r="F235" s="735">
        <v>2807.4</v>
      </c>
      <c r="G235" s="736">
        <v>2771.1</v>
      </c>
      <c r="H235" s="737"/>
      <c r="I235" s="737"/>
      <c r="J235" s="737"/>
    </row>
    <row r="236" spans="3:15" s="590" customFormat="1">
      <c r="C236" s="652" t="s">
        <v>73</v>
      </c>
      <c r="D236" s="706" t="s">
        <v>5</v>
      </c>
      <c r="E236" s="738">
        <f>E229/((E234+D234)/2)</f>
        <v>2.3401282822208858</v>
      </c>
      <c r="F236" s="738">
        <f>F229/((F234+E234)/2)</f>
        <v>2.23312835376601</v>
      </c>
      <c r="G236" s="739">
        <f>G229/((G234+F234)/2)</f>
        <v>0.52827347485552811</v>
      </c>
    </row>
    <row r="237" spans="3:15" s="590" customFormat="1">
      <c r="C237" s="652" t="s">
        <v>72</v>
      </c>
      <c r="D237" s="706" t="s">
        <v>5</v>
      </c>
      <c r="E237" s="738">
        <f>E234/((D235+E235)/2)</f>
        <v>2.0835288407086807</v>
      </c>
      <c r="F237" s="738">
        <f>F234/((E235+F235)/2)</f>
        <v>1.8912657636618402</v>
      </c>
      <c r="G237" s="739">
        <f>G234/((F235+G235)/2)</f>
        <v>1.8518956708792684</v>
      </c>
    </row>
    <row r="238" spans="3:15" s="590" customFormat="1">
      <c r="C238" s="652" t="s">
        <v>62</v>
      </c>
      <c r="D238" s="706" t="s">
        <v>5</v>
      </c>
      <c r="E238" s="740">
        <f>E233/E236</f>
        <v>1.7909455449101087E-2</v>
      </c>
      <c r="F238" s="740">
        <f>F233/F236</f>
        <v>2.8338139358359108E-2</v>
      </c>
      <c r="G238" s="741">
        <f>G233/G236</f>
        <v>6.9471593306926302E-2</v>
      </c>
    </row>
    <row r="239" spans="3:15" s="590" customFormat="1">
      <c r="C239" s="652" t="s">
        <v>61</v>
      </c>
      <c r="D239" s="706" t="s">
        <v>5</v>
      </c>
      <c r="E239" s="740">
        <f>E233*E237*E236</f>
        <v>0.20434368846637752</v>
      </c>
      <c r="F239" s="740">
        <f>F233*F237*F236</f>
        <v>0.26727064648043242</v>
      </c>
      <c r="G239" s="741">
        <f>G233*G237*G236</f>
        <v>3.590388015329854E-2</v>
      </c>
    </row>
    <row r="240" spans="3:15" s="590" customFormat="1">
      <c r="C240" s="652" t="s">
        <v>71</v>
      </c>
      <c r="D240" s="706">
        <f>D157</f>
        <v>44.69</v>
      </c>
      <c r="E240" s="706">
        <f>E157</f>
        <v>58.4</v>
      </c>
      <c r="F240" s="706">
        <f>F157</f>
        <v>64.739999999999995</v>
      </c>
      <c r="G240" s="714">
        <f>G157</f>
        <v>65.42</v>
      </c>
    </row>
    <row r="241" spans="3:29" s="590" customFormat="1">
      <c r="C241" s="652" t="s">
        <v>70</v>
      </c>
      <c r="D241" s="706">
        <v>3.81</v>
      </c>
      <c r="E241" s="706">
        <v>4.87</v>
      </c>
      <c r="F241" s="706">
        <v>7.52</v>
      </c>
      <c r="G241" s="714">
        <v>1.07</v>
      </c>
    </row>
    <row r="242" spans="3:29" s="590" customFormat="1" ht="16">
      <c r="C242" s="652" t="s">
        <v>69</v>
      </c>
      <c r="D242" s="706">
        <v>3.79</v>
      </c>
      <c r="E242" s="706">
        <v>4.84</v>
      </c>
      <c r="F242" s="706">
        <v>7.46</v>
      </c>
      <c r="G242" s="714">
        <v>1.06</v>
      </c>
      <c r="U242" s="742"/>
      <c r="W242" s="604"/>
      <c r="X242" s="604"/>
      <c r="Y242" s="604"/>
      <c r="Z242" s="604"/>
      <c r="AA242" s="604"/>
      <c r="AB242" s="604"/>
    </row>
    <row r="243" spans="3:29" s="590" customFormat="1">
      <c r="C243" s="652" t="s">
        <v>68</v>
      </c>
      <c r="D243" s="743">
        <v>0.74750000000000005</v>
      </c>
      <c r="E243" s="743">
        <v>0.83750000000000002</v>
      </c>
      <c r="F243" s="743">
        <v>0.96499999999999997</v>
      </c>
      <c r="G243" s="714">
        <v>0.3</v>
      </c>
      <c r="H243" s="590">
        <v>391.8</v>
      </c>
      <c r="V243" s="604"/>
      <c r="W243" s="604"/>
      <c r="X243" s="604"/>
      <c r="Y243" s="604"/>
      <c r="Z243" s="604"/>
      <c r="AA243" s="604"/>
      <c r="AB243" s="604"/>
    </row>
    <row r="244" spans="3:29" s="590" customFormat="1">
      <c r="C244" s="654" t="s">
        <v>67</v>
      </c>
      <c r="D244" s="744" t="s">
        <v>5</v>
      </c>
      <c r="E244" s="707">
        <f>(E243+E240-D240)/D240</f>
        <v>0.32552025061535017</v>
      </c>
      <c r="F244" s="707">
        <f>(F243+F240-E240)/E240</f>
        <v>0.12508561643835617</v>
      </c>
      <c r="G244" s="745">
        <f>(G243+G240-F240)/F240</f>
        <v>1.5137472968798332E-2</v>
      </c>
      <c r="H244" s="590">
        <v>2399.3000000000002</v>
      </c>
      <c r="V244" s="588"/>
      <c r="W244" s="737"/>
      <c r="X244" s="737"/>
      <c r="Y244" s="737"/>
      <c r="Z244" s="737"/>
      <c r="AA244" s="737"/>
      <c r="AB244" s="737"/>
    </row>
    <row r="245" spans="3:29" s="590" customFormat="1">
      <c r="D245" s="706"/>
      <c r="E245" s="706"/>
      <c r="F245" s="706"/>
      <c r="G245" s="714"/>
      <c r="W245" s="737"/>
      <c r="X245" s="737"/>
      <c r="Y245" s="737"/>
      <c r="Z245" s="737"/>
      <c r="AA245" s="737"/>
      <c r="AB245" s="737"/>
    </row>
    <row r="246" spans="3:29" s="590" customFormat="1" ht="16">
      <c r="C246" s="746" t="s">
        <v>66</v>
      </c>
      <c r="D246" s="733" t="s">
        <v>65</v>
      </c>
      <c r="E246" s="733" t="s">
        <v>64</v>
      </c>
      <c r="F246" s="733" t="s">
        <v>63</v>
      </c>
      <c r="G246" s="747" t="s">
        <v>368</v>
      </c>
      <c r="H246" s="604"/>
      <c r="I246" s="604"/>
      <c r="J246" s="604"/>
      <c r="V246" s="588"/>
      <c r="W246" s="588"/>
      <c r="X246" s="588"/>
      <c r="Y246" s="588"/>
      <c r="Z246" s="588"/>
      <c r="AA246" s="588"/>
      <c r="AB246" s="588"/>
    </row>
    <row r="247" spans="3:29" s="590" customFormat="1">
      <c r="D247" s="604"/>
      <c r="E247" s="604"/>
      <c r="F247" s="604"/>
      <c r="G247" s="605"/>
      <c r="H247" s="604"/>
      <c r="I247" s="604"/>
      <c r="J247" s="604"/>
    </row>
    <row r="248" spans="3:29" s="590" customFormat="1">
      <c r="C248" s="590" t="str">
        <f>C229</f>
        <v>Sales</v>
      </c>
      <c r="D248" s="588">
        <f>D229</f>
        <v>11396.4</v>
      </c>
      <c r="E248" s="737">
        <f>E229</f>
        <v>11674.9</v>
      </c>
      <c r="F248" s="737">
        <f>F229</f>
        <v>11402.8</v>
      </c>
      <c r="G248" s="748">
        <f>G229</f>
        <v>2701.3</v>
      </c>
      <c r="H248" s="737"/>
      <c r="I248" s="737"/>
      <c r="J248" s="737"/>
    </row>
    <row r="249" spans="3:29" s="590" customFormat="1">
      <c r="C249" s="590" t="str">
        <f>C231</f>
        <v>Net income</v>
      </c>
      <c r="D249" s="590">
        <f>D231</f>
        <v>329.7</v>
      </c>
      <c r="E249" s="737">
        <f>E231</f>
        <v>489.3</v>
      </c>
      <c r="F249" s="737">
        <f>F231</f>
        <v>721.6</v>
      </c>
      <c r="G249" s="748">
        <f>G231</f>
        <v>99.2</v>
      </c>
      <c r="H249" s="737"/>
      <c r="I249" s="737"/>
      <c r="J249" s="737"/>
    </row>
    <row r="250" spans="3:29" s="590" customFormat="1">
      <c r="C250" s="590" t="str">
        <f t="shared" ref="C250:F251" si="1">C234</f>
        <v>Assets</v>
      </c>
      <c r="D250" s="590">
        <f t="shared" si="1"/>
        <v>4827.1000000000004</v>
      </c>
      <c r="E250" s="737">
        <f t="shared" si="1"/>
        <v>5150.8999999999996</v>
      </c>
      <c r="F250" s="737">
        <f t="shared" si="1"/>
        <v>5061.5</v>
      </c>
      <c r="G250" s="748">
        <f>G234</f>
        <v>5165.3999999999996</v>
      </c>
      <c r="H250" s="737"/>
      <c r="I250" s="737"/>
      <c r="J250" s="737"/>
    </row>
    <row r="251" spans="3:29" s="590" customFormat="1">
      <c r="C251" s="590" t="str">
        <f t="shared" si="1"/>
        <v>Equity</v>
      </c>
      <c r="D251" s="588">
        <f t="shared" si="1"/>
        <v>2399.3000000000002</v>
      </c>
      <c r="E251" s="737">
        <f t="shared" si="1"/>
        <v>2545.1</v>
      </c>
      <c r="F251" s="737">
        <f t="shared" si="1"/>
        <v>2807.4</v>
      </c>
      <c r="G251" s="748">
        <f>G235</f>
        <v>2771.1</v>
      </c>
      <c r="H251" s="737"/>
      <c r="I251" s="737"/>
      <c r="J251" s="737"/>
    </row>
    <row r="252" spans="3:29" s="590" customFormat="1">
      <c r="C252" s="590" t="str">
        <f>C233</f>
        <v>Net profit margin</v>
      </c>
      <c r="D252" s="696">
        <v>2.8930188480572813E-2</v>
      </c>
      <c r="E252" s="696">
        <v>4.1910423215616409E-2</v>
      </c>
      <c r="F252" s="696">
        <v>6.3282702494124252E-2</v>
      </c>
      <c r="G252" s="598">
        <f>G233</f>
        <v>3.6700000000000003E-2</v>
      </c>
    </row>
    <row r="253" spans="3:29">
      <c r="C253" s="590" t="str">
        <f>C236</f>
        <v>Sales/assets</v>
      </c>
      <c r="D253" s="710" t="s">
        <v>5</v>
      </c>
      <c r="E253" s="587">
        <v>2.3401282822208858</v>
      </c>
      <c r="F253" s="590">
        <v>2.23312835376601</v>
      </c>
      <c r="G253" s="598">
        <f>G236</f>
        <v>0.52827347485552811</v>
      </c>
      <c r="H253" s="590"/>
      <c r="I253" s="590"/>
      <c r="J253" s="590"/>
      <c r="K253" s="590"/>
      <c r="T253" s="590"/>
      <c r="U253" s="590"/>
      <c r="V253" s="590"/>
      <c r="W253" s="590"/>
      <c r="X253" s="590"/>
      <c r="Y253" s="590"/>
      <c r="Z253" s="590"/>
      <c r="AA253" s="590"/>
      <c r="AB253" s="590"/>
      <c r="AC253" s="590"/>
    </row>
    <row r="254" spans="3:29">
      <c r="C254" s="590" t="str">
        <f>C237</f>
        <v>Assets/Equity</v>
      </c>
      <c r="D254" s="710" t="s">
        <v>5</v>
      </c>
      <c r="E254" s="587">
        <v>2.0835288407086807</v>
      </c>
      <c r="F254" s="590">
        <v>1.8912657636618402</v>
      </c>
      <c r="G254" s="598">
        <v>1.85</v>
      </c>
      <c r="H254" s="590"/>
      <c r="I254" s="590"/>
      <c r="J254" s="590"/>
      <c r="K254" s="590"/>
      <c r="T254" s="590"/>
      <c r="U254" s="590"/>
      <c r="V254" s="590"/>
      <c r="W254" s="590"/>
      <c r="X254" s="590"/>
      <c r="Y254" s="590"/>
      <c r="Z254" s="590"/>
      <c r="AA254" s="590"/>
      <c r="AB254" s="590"/>
      <c r="AC254" s="590"/>
    </row>
    <row r="255" spans="3:29">
      <c r="C255" s="590" t="s">
        <v>62</v>
      </c>
      <c r="D255" s="749" t="s">
        <v>5</v>
      </c>
      <c r="E255" s="727">
        <v>1.7909455449101087E-2</v>
      </c>
      <c r="F255" s="696">
        <v>2.8338139358359108E-2</v>
      </c>
      <c r="G255" s="598">
        <v>6.9500000000000006E-2</v>
      </c>
      <c r="H255" s="590"/>
      <c r="I255" s="590"/>
      <c r="J255" s="590"/>
      <c r="K255" s="590"/>
    </row>
    <row r="256" spans="3:29" ht="14" thickBot="1">
      <c r="C256" s="600" t="s">
        <v>61</v>
      </c>
      <c r="D256" s="750" t="s">
        <v>5</v>
      </c>
      <c r="E256" s="751">
        <v>0.20434368846637752</v>
      </c>
      <c r="F256" s="751">
        <v>0.26727064648043242</v>
      </c>
      <c r="G256" s="699">
        <v>3.5900000000000001E-2</v>
      </c>
      <c r="H256" s="590"/>
      <c r="I256" s="590"/>
      <c r="J256" s="590"/>
      <c r="K256" s="590"/>
    </row>
    <row r="257" spans="7:11">
      <c r="G257" s="590"/>
      <c r="H257" s="590"/>
      <c r="I257" s="590"/>
      <c r="J257" s="590"/>
      <c r="K257" s="590"/>
    </row>
  </sheetData>
  <mergeCells count="2">
    <mergeCell ref="C1:F1"/>
    <mergeCell ref="C2:F2"/>
  </mergeCells>
  <phoneticPr fontId="52" type="noConversion"/>
  <pageMargins left="0.7" right="0.7" top="0.75" bottom="0.75" header="0.3" footer="0.3"/>
  <pageSetup paperSize="9" orientation="portrait" horizontalDpi="0" verticalDpi="0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48"/>
  <sheetViews>
    <sheetView topLeftCell="B1" zoomScale="125" zoomScaleNormal="125" zoomScalePageLayoutView="125" workbookViewId="0">
      <selection activeCell="M23" sqref="M23"/>
    </sheetView>
  </sheetViews>
  <sheetFormatPr baseColWidth="10" defaultColWidth="8.83203125" defaultRowHeight="15"/>
  <cols>
    <col min="1" max="1" width="39.1640625" style="868" bestFit="1" customWidth="1"/>
    <col min="2" max="2" width="10.6640625" style="868" bestFit="1" customWidth="1"/>
    <col min="3" max="3" width="7.33203125" style="868" customWidth="1"/>
    <col min="4" max="4" width="7.83203125" style="868" customWidth="1"/>
    <col min="5" max="5" width="7.83203125" style="868" bestFit="1" customWidth="1"/>
    <col min="6" max="8" width="8.1640625" style="868" bestFit="1" customWidth="1"/>
    <col min="9" max="9" width="6.1640625" style="868" bestFit="1" customWidth="1"/>
    <col min="10" max="10" width="8.5" style="868" bestFit="1" customWidth="1"/>
    <col min="11" max="11" width="6.1640625" style="868" bestFit="1" customWidth="1"/>
    <col min="12" max="16384" width="8.83203125" style="868"/>
  </cols>
  <sheetData>
    <row r="1" spans="1:17" ht="20">
      <c r="A1" s="937" t="s">
        <v>25</v>
      </c>
      <c r="B1" s="938"/>
      <c r="C1" s="938"/>
      <c r="D1" s="939"/>
      <c r="E1" s="939"/>
      <c r="F1" s="940"/>
      <c r="G1" s="940"/>
      <c r="H1" s="940"/>
      <c r="I1" s="867"/>
      <c r="J1" s="867"/>
      <c r="K1" s="867"/>
    </row>
    <row r="2" spans="1:17" ht="21" thickBot="1">
      <c r="A2" s="941" t="s">
        <v>0</v>
      </c>
      <c r="B2" s="942"/>
      <c r="C2" s="942"/>
      <c r="D2" s="943"/>
      <c r="E2" s="943"/>
      <c r="F2" s="944"/>
      <c r="G2" s="944"/>
      <c r="H2" s="944"/>
      <c r="I2" s="869"/>
      <c r="J2" s="869"/>
      <c r="K2" s="869"/>
    </row>
    <row r="3" spans="1:17">
      <c r="A3" s="870"/>
      <c r="B3" s="871"/>
      <c r="C3" s="871"/>
      <c r="D3" s="871"/>
      <c r="E3" s="871"/>
      <c r="F3" s="872"/>
      <c r="G3" s="872"/>
      <c r="H3" s="872"/>
    </row>
    <row r="4" spans="1:17">
      <c r="A4" s="567"/>
      <c r="B4" s="873"/>
      <c r="C4" s="874">
        <v>2008</v>
      </c>
      <c r="D4" s="874">
        <v>2009</v>
      </c>
      <c r="E4" s="874">
        <v>2010</v>
      </c>
      <c r="F4" s="874">
        <v>2011</v>
      </c>
      <c r="G4" s="874">
        <v>2012</v>
      </c>
      <c r="H4" s="874">
        <v>2013</v>
      </c>
      <c r="J4" s="868">
        <f>H7/H11</f>
        <v>0.44349633423369705</v>
      </c>
    </row>
    <row r="5" spans="1:17">
      <c r="A5" s="875" t="s">
        <v>26</v>
      </c>
      <c r="B5" s="876" t="s">
        <v>1</v>
      </c>
      <c r="C5" s="877">
        <v>-3.1800000000000002E-2</v>
      </c>
      <c r="D5" s="877">
        <v>1.32E-2</v>
      </c>
      <c r="E5" s="878">
        <v>5.2999999999999999E-2</v>
      </c>
      <c r="F5" s="879">
        <v>5.3999999999999999E-2</v>
      </c>
      <c r="G5" s="879">
        <v>3.5000000000000003E-2</v>
      </c>
      <c r="H5" s="879">
        <v>2.9000000000000001E-2</v>
      </c>
      <c r="J5" s="868">
        <f>1-J4</f>
        <v>0.55650366576630295</v>
      </c>
    </row>
    <row r="6" spans="1:17">
      <c r="A6" s="880" t="s">
        <v>22</v>
      </c>
      <c r="B6" s="881"/>
      <c r="C6" s="881"/>
      <c r="D6" s="881"/>
      <c r="E6" s="881"/>
      <c r="F6" s="882"/>
      <c r="G6" s="882"/>
      <c r="H6" s="882"/>
      <c r="K6" s="945" t="s">
        <v>465</v>
      </c>
      <c r="L6" s="945"/>
      <c r="M6" s="945"/>
      <c r="N6" s="946">
        <f>AVERAGE(C8:H8)</f>
        <v>0.43177034978766898</v>
      </c>
      <c r="O6" s="947"/>
      <c r="P6" s="947"/>
      <c r="Q6" s="947"/>
    </row>
    <row r="7" spans="1:17">
      <c r="A7" s="882" t="s">
        <v>463</v>
      </c>
      <c r="B7" s="881" t="s">
        <v>2</v>
      </c>
      <c r="C7" s="881">
        <v>4756.6000000000004</v>
      </c>
      <c r="D7" s="881">
        <v>4826.5</v>
      </c>
      <c r="E7" s="881">
        <v>4887.8999999999996</v>
      </c>
      <c r="F7" s="882">
        <v>4909.5</v>
      </c>
      <c r="G7" s="882">
        <v>5117.8</v>
      </c>
      <c r="H7" s="882">
        <v>5057.1000000000004</v>
      </c>
      <c r="K7" s="945" t="s">
        <v>468</v>
      </c>
      <c r="L7" s="945"/>
      <c r="M7" s="945"/>
      <c r="N7" s="947">
        <f>(D7-C7)/C7</f>
        <v>1.4695370642896109E-2</v>
      </c>
      <c r="O7" s="947">
        <f t="shared" ref="O7:Q7" si="0">(E7-D7)/D7</f>
        <v>1.2721433751165365E-2</v>
      </c>
      <c r="P7" s="947">
        <f t="shared" si="0"/>
        <v>4.4190756766710375E-3</v>
      </c>
      <c r="Q7" s="947">
        <f t="shared" si="0"/>
        <v>4.2427945819329911E-2</v>
      </c>
    </row>
    <row r="8" spans="1:17">
      <c r="A8" s="882" t="s">
        <v>464</v>
      </c>
      <c r="B8" s="881" t="s">
        <v>1</v>
      </c>
      <c r="C8" s="883">
        <f t="shared" ref="C8:H8" si="1">C7/C11</f>
        <v>0.44349755715511135</v>
      </c>
      <c r="D8" s="883">
        <f t="shared" si="1"/>
        <v>0.4035535117056856</v>
      </c>
      <c r="E8" s="883">
        <f t="shared" si="1"/>
        <v>0.43092154563647744</v>
      </c>
      <c r="F8" s="883">
        <f t="shared" si="1"/>
        <v>0.430793934926819</v>
      </c>
      <c r="G8" s="883">
        <f t="shared" si="1"/>
        <v>0.43835921506822328</v>
      </c>
      <c r="H8" s="883">
        <f t="shared" si="1"/>
        <v>0.44349633423369705</v>
      </c>
      <c r="K8" s="945" t="s">
        <v>466</v>
      </c>
      <c r="L8" s="945"/>
      <c r="M8" s="945"/>
      <c r="N8" s="947"/>
      <c r="O8" s="947">
        <f>AVERAGE(N7:Q7)</f>
        <v>1.8565956472515605E-2</v>
      </c>
      <c r="P8" s="947"/>
      <c r="Q8" s="947"/>
    </row>
    <row r="9" spans="1:17">
      <c r="A9" s="882" t="s">
        <v>456</v>
      </c>
      <c r="B9" s="881" t="s">
        <v>2</v>
      </c>
      <c r="C9" s="884">
        <f t="shared" ref="C9:H9" si="2">C11-C7</f>
        <v>5968.6</v>
      </c>
      <c r="D9" s="884">
        <f t="shared" si="2"/>
        <v>7133.5</v>
      </c>
      <c r="E9" s="884">
        <f t="shared" si="2"/>
        <v>6455</v>
      </c>
      <c r="F9" s="884">
        <f t="shared" si="2"/>
        <v>6486.9</v>
      </c>
      <c r="G9" s="884">
        <f t="shared" si="2"/>
        <v>6557.0999999999995</v>
      </c>
      <c r="H9" s="884">
        <f t="shared" si="2"/>
        <v>6345.6999999999989</v>
      </c>
      <c r="J9" s="951"/>
      <c r="K9" s="945"/>
      <c r="L9" s="945"/>
      <c r="M9" s="945"/>
      <c r="N9" s="947"/>
      <c r="O9" s="947"/>
      <c r="P9" s="947"/>
      <c r="Q9" s="947"/>
    </row>
    <row r="10" spans="1:17">
      <c r="A10" s="882"/>
      <c r="B10" s="881"/>
      <c r="C10" s="883">
        <f>1-C8</f>
        <v>0.55650244284488859</v>
      </c>
      <c r="D10" s="883">
        <f t="shared" ref="D10:H10" si="3">1-D8</f>
        <v>0.59644648829431435</v>
      </c>
      <c r="E10" s="883">
        <f t="shared" si="3"/>
        <v>0.56907845436352256</v>
      </c>
      <c r="F10" s="883">
        <f t="shared" si="3"/>
        <v>0.56920606507318094</v>
      </c>
      <c r="G10" s="883">
        <f t="shared" si="3"/>
        <v>0.56164078493177672</v>
      </c>
      <c r="H10" s="883">
        <f t="shared" si="3"/>
        <v>0.55650366576630295</v>
      </c>
      <c r="K10" s="945" t="s">
        <v>467</v>
      </c>
      <c r="L10" s="945"/>
      <c r="M10" s="945"/>
      <c r="N10" s="947">
        <f>(D9-C9)/C9</f>
        <v>0.19517139697751559</v>
      </c>
      <c r="O10" s="947">
        <f t="shared" ref="O10:Q10" si="4">(E9-D9)/D9</f>
        <v>-9.511460012616528E-2</v>
      </c>
      <c r="P10" s="947">
        <f t="shared" si="4"/>
        <v>4.9419054996126472E-3</v>
      </c>
      <c r="Q10" s="947">
        <f t="shared" si="4"/>
        <v>1.0821810109605486E-2</v>
      </c>
    </row>
    <row r="11" spans="1:17">
      <c r="A11" s="885" t="s">
        <v>29</v>
      </c>
      <c r="B11" s="881" t="s">
        <v>2</v>
      </c>
      <c r="C11" s="886">
        <v>10725.2</v>
      </c>
      <c r="D11" s="886">
        <v>11960</v>
      </c>
      <c r="E11" s="886">
        <v>11342.9</v>
      </c>
      <c r="F11" s="887">
        <v>11396.4</v>
      </c>
      <c r="G11" s="887">
        <v>11674.9</v>
      </c>
      <c r="H11" s="887">
        <v>11402.8</v>
      </c>
      <c r="K11" s="945" t="s">
        <v>469</v>
      </c>
      <c r="L11" s="945"/>
      <c r="M11" s="945"/>
      <c r="N11" s="945"/>
      <c r="O11" s="948">
        <f>AVERAGE(N10:Q10)</f>
        <v>2.8955128115142115E-2</v>
      </c>
      <c r="P11" s="945"/>
      <c r="Q11" s="945"/>
    </row>
    <row r="12" spans="1:17">
      <c r="A12" s="885" t="s">
        <v>3</v>
      </c>
      <c r="B12" s="881" t="s">
        <v>2</v>
      </c>
      <c r="C12" s="888">
        <v>10725.2</v>
      </c>
      <c r="D12" s="888">
        <v>11960</v>
      </c>
      <c r="E12" s="888">
        <v>11342.9</v>
      </c>
      <c r="F12" s="889">
        <v>11396.4</v>
      </c>
      <c r="G12" s="889">
        <v>11674.9</v>
      </c>
      <c r="H12" s="889">
        <v>11402.8</v>
      </c>
      <c r="K12" s="945"/>
      <c r="L12" s="945"/>
      <c r="M12" s="945"/>
      <c r="N12" s="945"/>
      <c r="O12" s="945"/>
      <c r="P12" s="945">
        <f>VAR(N10:Q10)</f>
        <v>1.4642199194224529E-2</v>
      </c>
      <c r="Q12" s="945"/>
    </row>
    <row r="13" spans="1:17">
      <c r="A13" s="890"/>
      <c r="B13" s="891"/>
      <c r="C13" s="891"/>
      <c r="D13" s="891"/>
      <c r="E13" s="891"/>
      <c r="F13" s="892"/>
      <c r="G13" s="892"/>
      <c r="H13" s="892"/>
      <c r="K13" s="945"/>
      <c r="L13" s="945"/>
      <c r="M13" s="945"/>
      <c r="N13" s="945"/>
      <c r="O13" s="945"/>
      <c r="P13" s="949">
        <f>P12^0.5</f>
        <v>0.1210049552465705</v>
      </c>
      <c r="Q13" s="945"/>
    </row>
    <row r="14" spans="1:17">
      <c r="A14" s="893"/>
      <c r="B14" s="894"/>
      <c r="C14" s="894"/>
      <c r="D14" s="894"/>
      <c r="E14" s="894"/>
      <c r="F14" s="895"/>
      <c r="G14" s="895"/>
      <c r="H14" s="895"/>
      <c r="J14" s="868">
        <v>1.2</v>
      </c>
      <c r="K14" s="945"/>
      <c r="L14" s="945"/>
      <c r="M14" s="945"/>
      <c r="N14" s="945"/>
      <c r="O14" s="945"/>
      <c r="P14" s="945"/>
      <c r="Q14" s="945"/>
    </row>
    <row r="15" spans="1:17">
      <c r="A15" s="896" t="s">
        <v>27</v>
      </c>
      <c r="B15" s="873"/>
      <c r="C15" s="897">
        <v>2008</v>
      </c>
      <c r="D15" s="897">
        <v>2009</v>
      </c>
      <c r="E15" s="897">
        <v>2010</v>
      </c>
      <c r="F15" s="897">
        <v>2011</v>
      </c>
      <c r="G15" s="897">
        <v>2012</v>
      </c>
      <c r="H15" s="897">
        <v>2013</v>
      </c>
      <c r="J15" s="868">
        <v>0.98</v>
      </c>
      <c r="K15" s="945"/>
      <c r="L15" s="945"/>
      <c r="M15" s="948">
        <f>O11-N15</f>
        <v>1.8443986169947656E-2</v>
      </c>
      <c r="N15" s="945">
        <f>O11*P13*3</f>
        <v>1.0511141945194461E-2</v>
      </c>
      <c r="O15" s="945"/>
      <c r="P15" s="945"/>
      <c r="Q15" s="945"/>
    </row>
    <row r="16" spans="1:17">
      <c r="A16" s="895" t="s">
        <v>4</v>
      </c>
      <c r="B16" s="881" t="s">
        <v>1</v>
      </c>
      <c r="C16" s="898" t="s">
        <v>5</v>
      </c>
      <c r="D16" s="899">
        <f>D11/C11-1</f>
        <v>0.11513072017305026</v>
      </c>
      <c r="E16" s="899">
        <f>E11/D11-1</f>
        <v>-5.1596989966555262E-2</v>
      </c>
      <c r="F16" s="73">
        <v>8.0000000000000002E-3</v>
      </c>
      <c r="G16" s="73">
        <v>5.5E-2</v>
      </c>
      <c r="H16" s="73">
        <v>-2.3E-2</v>
      </c>
      <c r="J16" s="868">
        <f>J14*J5+J15*J4</f>
        <v>1.1024308064685866</v>
      </c>
      <c r="K16" s="945">
        <f>J16*1.1</f>
        <v>1.2126738871154454</v>
      </c>
      <c r="L16" s="945"/>
      <c r="M16" s="945"/>
      <c r="N16" s="945"/>
      <c r="O16" s="945"/>
      <c r="P16" s="945"/>
      <c r="Q16" s="945"/>
    </row>
    <row r="17" spans="1:17">
      <c r="A17" s="895" t="s">
        <v>28</v>
      </c>
      <c r="B17" s="881" t="s">
        <v>1</v>
      </c>
      <c r="C17" s="900" t="s">
        <v>5</v>
      </c>
      <c r="D17" s="901">
        <f>D16-D5</f>
        <v>0.10193072017305026</v>
      </c>
      <c r="E17" s="901">
        <f>E16-E5</f>
        <v>-0.10459698996655525</v>
      </c>
      <c r="F17" s="73">
        <v>-4.5999999999999999E-2</v>
      </c>
      <c r="G17" s="73">
        <v>0.02</v>
      </c>
      <c r="H17" s="73">
        <v>-5.1999999999999998E-2</v>
      </c>
      <c r="K17" s="945"/>
      <c r="L17" s="945"/>
      <c r="M17" s="945"/>
      <c r="N17" s="945"/>
      <c r="O17" s="945"/>
      <c r="P17" s="945"/>
      <c r="Q17" s="945"/>
    </row>
    <row r="18" spans="1:17">
      <c r="A18" s="892"/>
      <c r="B18" s="902"/>
      <c r="C18" s="902"/>
      <c r="D18" s="902"/>
      <c r="E18" s="902"/>
      <c r="F18" s="903"/>
      <c r="G18" s="904"/>
      <c r="H18" s="904"/>
      <c r="J18" s="868">
        <f>1.01*1.011</f>
        <v>1.02111</v>
      </c>
      <c r="K18" s="945"/>
      <c r="L18" s="945"/>
      <c r="M18" s="952">
        <f>1+D16</f>
        <v>1.1151307201730503</v>
      </c>
      <c r="N18" s="952">
        <f t="shared" ref="N18:Q18" si="5">1+E16</f>
        <v>0.94840301003344474</v>
      </c>
      <c r="O18" s="952">
        <f t="shared" si="5"/>
        <v>1.008</v>
      </c>
      <c r="P18" s="952">
        <f t="shared" si="5"/>
        <v>1.0549999999999999</v>
      </c>
      <c r="Q18" s="952">
        <f t="shared" si="5"/>
        <v>0.97699999999999998</v>
      </c>
    </row>
    <row r="19" spans="1:17">
      <c r="A19" s="895"/>
      <c r="B19" s="881"/>
      <c r="C19" s="881"/>
      <c r="D19" s="881"/>
      <c r="E19" s="881"/>
      <c r="F19" s="905"/>
      <c r="G19" s="905"/>
      <c r="H19" s="905"/>
      <c r="K19" s="945"/>
      <c r="L19" s="945"/>
      <c r="M19" s="945"/>
      <c r="N19" s="945"/>
      <c r="O19" s="945"/>
      <c r="P19" s="945"/>
      <c r="Q19" s="945"/>
    </row>
    <row r="20" spans="1:17">
      <c r="A20" s="869"/>
      <c r="B20" s="873"/>
      <c r="C20" s="897">
        <v>2008</v>
      </c>
      <c r="D20" s="897">
        <v>2009</v>
      </c>
      <c r="E20" s="897">
        <v>2010</v>
      </c>
      <c r="F20" s="897">
        <v>2011</v>
      </c>
      <c r="G20" s="897">
        <v>2012</v>
      </c>
      <c r="H20" s="897">
        <v>2013</v>
      </c>
      <c r="K20" s="945"/>
      <c r="L20" s="945"/>
      <c r="M20" s="945">
        <f>(M18*N18*O18*P18*Q18)^0.2</f>
        <v>1.0190259692003083</v>
      </c>
      <c r="N20" s="945"/>
      <c r="O20" s="945"/>
      <c r="P20" s="945"/>
      <c r="Q20" s="945"/>
    </row>
    <row r="21" spans="1:17">
      <c r="A21" s="906" t="s">
        <v>30</v>
      </c>
      <c r="B21" s="881" t="s">
        <v>2</v>
      </c>
      <c r="C21" s="900">
        <v>826</v>
      </c>
      <c r="D21" s="900">
        <f>559+268</f>
        <v>827</v>
      </c>
      <c r="E21" s="900">
        <f>566+265</f>
        <v>831</v>
      </c>
      <c r="F21" s="345">
        <f>564+257</f>
        <v>821</v>
      </c>
      <c r="G21" s="345">
        <f>558+268</f>
        <v>826</v>
      </c>
      <c r="H21" s="345">
        <v>823</v>
      </c>
      <c r="K21" s="945"/>
      <c r="L21" s="945"/>
      <c r="M21" s="945"/>
      <c r="N21" s="945"/>
      <c r="O21" s="945"/>
      <c r="P21" s="945"/>
      <c r="Q21" s="945"/>
    </row>
    <row r="22" spans="1:17">
      <c r="A22" s="895" t="s">
        <v>6</v>
      </c>
      <c r="B22" s="907" t="s">
        <v>7</v>
      </c>
      <c r="C22" s="908" t="s">
        <v>5</v>
      </c>
      <c r="D22" s="908">
        <v>1</v>
      </c>
      <c r="E22" s="908">
        <v>4</v>
      </c>
      <c r="F22" s="909">
        <v>-10</v>
      </c>
      <c r="G22" s="345">
        <v>5</v>
      </c>
      <c r="H22" s="910">
        <v>-3</v>
      </c>
      <c r="K22" s="945">
        <v>536.70000000000005</v>
      </c>
      <c r="L22" s="945">
        <v>1218.3</v>
      </c>
      <c r="M22" s="945">
        <v>590.9</v>
      </c>
      <c r="N22" s="945">
        <f>K22+L22+M22</f>
        <v>2345.9</v>
      </c>
      <c r="O22" s="945"/>
      <c r="P22" s="945"/>
      <c r="Q22" s="945"/>
    </row>
    <row r="23" spans="1:17">
      <c r="A23" s="892"/>
      <c r="B23" s="911"/>
      <c r="C23" s="911"/>
      <c r="D23" s="911"/>
      <c r="E23" s="911"/>
      <c r="F23" s="912"/>
      <c r="G23" s="913"/>
      <c r="H23" s="913"/>
      <c r="K23" s="945">
        <v>30</v>
      </c>
      <c r="L23" s="945">
        <v>11.5</v>
      </c>
      <c r="M23" s="945">
        <v>12.5</v>
      </c>
      <c r="N23" s="945"/>
      <c r="O23" s="945"/>
      <c r="P23" s="945"/>
      <c r="Q23" s="945"/>
    </row>
    <row r="24" spans="1:17">
      <c r="A24" s="895"/>
      <c r="B24" s="914"/>
      <c r="C24" s="914"/>
      <c r="D24" s="914"/>
      <c r="E24" s="914"/>
      <c r="F24" s="915"/>
      <c r="G24" s="694"/>
      <c r="H24" s="694"/>
      <c r="K24" s="945">
        <f>K22/$N$22</f>
        <v>0.22878213052559787</v>
      </c>
      <c r="L24" s="945">
        <f>L22/$N$22</f>
        <v>0.5193315998124387</v>
      </c>
      <c r="M24" s="945">
        <f>M22/$N$22</f>
        <v>0.25188626966196342</v>
      </c>
      <c r="N24" s="945"/>
      <c r="O24" s="945"/>
      <c r="P24" s="945"/>
      <c r="Q24" s="945"/>
    </row>
    <row r="25" spans="1:17">
      <c r="A25" s="869"/>
      <c r="B25" s="916"/>
      <c r="C25" s="897">
        <v>2008</v>
      </c>
      <c r="D25" s="897">
        <v>2009</v>
      </c>
      <c r="E25" s="897">
        <v>2010</v>
      </c>
      <c r="F25" s="897">
        <v>2011</v>
      </c>
      <c r="G25" s="897">
        <v>2012</v>
      </c>
      <c r="H25" s="897">
        <v>2013</v>
      </c>
      <c r="K25" s="945">
        <f>(K23*K24)+(L23*L24)+(M23*M24)</f>
        <v>15.984355684385525</v>
      </c>
      <c r="L25" s="945"/>
      <c r="M25" s="945"/>
      <c r="N25" s="945"/>
      <c r="O25" s="945"/>
      <c r="P25" s="945"/>
      <c r="Q25" s="945"/>
    </row>
    <row r="26" spans="1:17">
      <c r="A26" s="917" t="s">
        <v>9</v>
      </c>
      <c r="B26" s="881" t="s">
        <v>8</v>
      </c>
      <c r="C26" s="900">
        <v>19</v>
      </c>
      <c r="D26" s="900">
        <v>19.3</v>
      </c>
      <c r="E26" s="900">
        <v>19.7</v>
      </c>
      <c r="F26" s="918">
        <v>20.399999999999999</v>
      </c>
      <c r="G26" s="918">
        <v>20.8</v>
      </c>
      <c r="H26" s="918">
        <v>21.5</v>
      </c>
    </row>
    <row r="27" spans="1:17">
      <c r="A27" s="895" t="s">
        <v>10</v>
      </c>
      <c r="B27" s="881" t="s">
        <v>11</v>
      </c>
      <c r="C27" s="919">
        <f t="shared" ref="C27:H27" si="6">C26/C21</f>
        <v>2.3002421307506054E-2</v>
      </c>
      <c r="D27" s="919">
        <f t="shared" si="6"/>
        <v>2.3337363966142687E-2</v>
      </c>
      <c r="E27" s="919">
        <f t="shared" si="6"/>
        <v>2.3706377858002406E-2</v>
      </c>
      <c r="F27" s="919">
        <f t="shared" si="6"/>
        <v>2.4847746650426307E-2</v>
      </c>
      <c r="G27" s="919">
        <f t="shared" si="6"/>
        <v>2.5181598062953996E-2</v>
      </c>
      <c r="H27" s="919">
        <f t="shared" si="6"/>
        <v>2.6123936816524911E-2</v>
      </c>
    </row>
    <row r="28" spans="1:17">
      <c r="A28" s="895" t="s">
        <v>12</v>
      </c>
      <c r="B28" s="881" t="s">
        <v>1</v>
      </c>
      <c r="C28" s="900" t="s">
        <v>5</v>
      </c>
      <c r="D28" s="73">
        <f>D26/C26-1</f>
        <v>1.5789473684210575E-2</v>
      </c>
      <c r="E28" s="73">
        <f>E26/D26-1</f>
        <v>2.0725388601036121E-2</v>
      </c>
      <c r="F28" s="73">
        <f>F26/E26-1</f>
        <v>3.5532994923857864E-2</v>
      </c>
      <c r="G28" s="73">
        <f>G26/F26-1</f>
        <v>1.9607843137255054E-2</v>
      </c>
      <c r="H28" s="73">
        <f>H26/G26-1</f>
        <v>3.3653846153846034E-2</v>
      </c>
    </row>
    <row r="29" spans="1:17">
      <c r="A29" s="920"/>
      <c r="B29" s="911"/>
      <c r="C29" s="911"/>
      <c r="D29" s="911"/>
      <c r="E29" s="911"/>
      <c r="F29" s="921"/>
      <c r="G29" s="922"/>
      <c r="H29" s="922"/>
    </row>
    <row r="30" spans="1:17">
      <c r="A30" s="923"/>
      <c r="B30" s="924"/>
      <c r="C30" s="924"/>
      <c r="D30" s="924"/>
      <c r="E30" s="924"/>
      <c r="F30" s="925"/>
      <c r="G30" s="925"/>
      <c r="H30" s="925"/>
    </row>
    <row r="31" spans="1:17">
      <c r="A31" s="926"/>
      <c r="B31" s="927"/>
      <c r="C31" s="897">
        <v>2008</v>
      </c>
      <c r="D31" s="897">
        <v>2009</v>
      </c>
      <c r="E31" s="897">
        <v>2010</v>
      </c>
      <c r="F31" s="897">
        <v>2011</v>
      </c>
      <c r="G31" s="897">
        <v>2012</v>
      </c>
      <c r="H31" s="897">
        <v>2013</v>
      </c>
    </row>
    <row r="32" spans="1:17">
      <c r="A32" s="896" t="s">
        <v>31</v>
      </c>
      <c r="B32" s="881" t="s">
        <v>2</v>
      </c>
      <c r="C32" s="900">
        <v>8792.2999999999993</v>
      </c>
      <c r="D32" s="888">
        <v>9216.2000000000007</v>
      </c>
      <c r="E32" s="888">
        <v>9267.2000000000007</v>
      </c>
      <c r="F32" s="889">
        <v>9333.6</v>
      </c>
      <c r="G32" s="889">
        <v>9485.9</v>
      </c>
      <c r="H32" s="889">
        <v>9237</v>
      </c>
    </row>
    <row r="33" spans="1:11">
      <c r="A33" s="885" t="s">
        <v>34</v>
      </c>
      <c r="B33" s="881" t="s">
        <v>2</v>
      </c>
      <c r="C33" s="900">
        <v>1310.8</v>
      </c>
      <c r="D33" s="888">
        <v>1354.6</v>
      </c>
      <c r="E33" s="888">
        <v>1328.2</v>
      </c>
      <c r="F33" s="889">
        <v>1318.4</v>
      </c>
      <c r="G33" s="889">
        <v>1366.1</v>
      </c>
      <c r="H33" s="889">
        <v>1344.6</v>
      </c>
    </row>
    <row r="34" spans="1:11">
      <c r="A34" s="885" t="s">
        <v>13</v>
      </c>
      <c r="B34" s="881" t="s">
        <v>2</v>
      </c>
      <c r="C34" s="928">
        <f t="shared" ref="C34:H34" si="7">SUM(C32:C33)</f>
        <v>10103.099999999999</v>
      </c>
      <c r="D34" s="928">
        <f t="shared" si="7"/>
        <v>10570.800000000001</v>
      </c>
      <c r="E34" s="928">
        <f t="shared" si="7"/>
        <v>10595.400000000001</v>
      </c>
      <c r="F34" s="928">
        <f t="shared" si="7"/>
        <v>10652</v>
      </c>
      <c r="G34" s="928">
        <f t="shared" si="7"/>
        <v>10852</v>
      </c>
      <c r="H34" s="928">
        <f t="shared" si="7"/>
        <v>10581.6</v>
      </c>
    </row>
    <row r="35" spans="1:11">
      <c r="A35" s="895"/>
      <c r="B35" s="894"/>
      <c r="C35" s="894"/>
      <c r="D35" s="894"/>
      <c r="E35" s="894"/>
      <c r="F35" s="895"/>
      <c r="G35" s="895"/>
      <c r="H35" s="895"/>
    </row>
    <row r="36" spans="1:11">
      <c r="A36" s="895" t="s">
        <v>14</v>
      </c>
      <c r="B36" s="894"/>
      <c r="C36" s="73" t="s">
        <v>5</v>
      </c>
      <c r="D36" s="73">
        <f>D34/C34-1</f>
        <v>4.629272203581114E-2</v>
      </c>
      <c r="E36" s="73">
        <f>E34/D34-1</f>
        <v>2.3271653990237784E-3</v>
      </c>
      <c r="F36" s="73">
        <f>F34/E34-1</f>
        <v>5.3419408422521464E-3</v>
      </c>
      <c r="G36" s="73">
        <f>G34/F34-1</f>
        <v>1.8775816748028529E-2</v>
      </c>
      <c r="H36" s="73">
        <f>H34/G34-1</f>
        <v>-2.4917065978621422E-2</v>
      </c>
    </row>
    <row r="37" spans="1:11">
      <c r="A37" s="895" t="s">
        <v>15</v>
      </c>
      <c r="B37" s="894"/>
      <c r="C37" s="73" t="s">
        <v>5</v>
      </c>
      <c r="D37" s="73">
        <f>D12/C12-1</f>
        <v>0.11513072017305026</v>
      </c>
      <c r="E37" s="73">
        <f>E12/D12-1</f>
        <v>-5.1596989966555262E-2</v>
      </c>
      <c r="F37" s="73">
        <f>F12/E12-1</f>
        <v>4.7166068642057191E-3</v>
      </c>
      <c r="G37" s="73">
        <f>G12/F12-1</f>
        <v>2.4437541679828811E-2</v>
      </c>
      <c r="H37" s="73">
        <f>H12/G12-1</f>
        <v>-2.3306409476740786E-2</v>
      </c>
    </row>
    <row r="38" spans="1:11">
      <c r="A38" s="895" t="s">
        <v>16</v>
      </c>
      <c r="B38" s="894"/>
      <c r="C38" s="73">
        <f t="shared" ref="C38:H38" si="8">C32/C12</f>
        <v>0.81977958452989208</v>
      </c>
      <c r="D38" s="73">
        <f t="shared" si="8"/>
        <v>0.77058528428093653</v>
      </c>
      <c r="E38" s="73">
        <f t="shared" si="8"/>
        <v>0.81700446975641161</v>
      </c>
      <c r="F38" s="73">
        <f t="shared" si="8"/>
        <v>0.81899547225439617</v>
      </c>
      <c r="G38" s="73">
        <f t="shared" si="8"/>
        <v>0.81250374735543773</v>
      </c>
      <c r="H38" s="73">
        <f t="shared" si="8"/>
        <v>0.81006419475918201</v>
      </c>
      <c r="I38" s="929"/>
      <c r="J38" s="929"/>
      <c r="K38" s="929"/>
    </row>
    <row r="39" spans="1:11">
      <c r="A39" s="895" t="s">
        <v>17</v>
      </c>
      <c r="B39" s="894"/>
      <c r="C39" s="73">
        <f t="shared" ref="C39:H39" si="9">C33/C12</f>
        <v>0.12221683511729384</v>
      </c>
      <c r="D39" s="73">
        <f t="shared" si="9"/>
        <v>0.11326086956521739</v>
      </c>
      <c r="E39" s="73">
        <f t="shared" si="9"/>
        <v>0.11709527545865696</v>
      </c>
      <c r="F39" s="694">
        <f t="shared" si="9"/>
        <v>0.11568565511916044</v>
      </c>
      <c r="G39" s="694">
        <f t="shared" si="9"/>
        <v>0.11701170887973344</v>
      </c>
      <c r="H39" s="694">
        <f t="shared" si="9"/>
        <v>0.1179184060055425</v>
      </c>
    </row>
    <row r="40" spans="1:11">
      <c r="A40" s="895" t="s">
        <v>18</v>
      </c>
      <c r="B40" s="894"/>
      <c r="C40" s="73">
        <f t="shared" ref="C40:H40" si="10">SUM(C38:C39)</f>
        <v>0.94199641964718595</v>
      </c>
      <c r="D40" s="73">
        <f t="shared" si="10"/>
        <v>0.88384615384615395</v>
      </c>
      <c r="E40" s="73">
        <f t="shared" si="10"/>
        <v>0.93409974521506856</v>
      </c>
      <c r="F40" s="73">
        <f t="shared" si="10"/>
        <v>0.93468112737355658</v>
      </c>
      <c r="G40" s="73">
        <f t="shared" si="10"/>
        <v>0.92951545623517118</v>
      </c>
      <c r="H40" s="73">
        <f t="shared" si="10"/>
        <v>0.9279826007647245</v>
      </c>
    </row>
    <row r="41" spans="1:11">
      <c r="A41" s="895"/>
      <c r="B41" s="894"/>
      <c r="C41" s="894"/>
      <c r="D41" s="894"/>
      <c r="E41" s="894"/>
      <c r="F41" s="694"/>
      <c r="G41" s="694"/>
      <c r="H41" s="694"/>
    </row>
    <row r="42" spans="1:11">
      <c r="A42" s="895"/>
      <c r="B42" s="881"/>
      <c r="C42" s="881"/>
      <c r="D42" s="881"/>
      <c r="E42" s="881"/>
      <c r="F42" s="696"/>
      <c r="G42" s="930"/>
      <c r="H42" s="931"/>
    </row>
    <row r="43" spans="1:11">
      <c r="A43" s="923"/>
      <c r="B43" s="924"/>
      <c r="C43" s="924"/>
      <c r="D43" s="924"/>
      <c r="E43" s="924"/>
      <c r="F43" s="925"/>
      <c r="G43" s="925"/>
      <c r="H43" s="925"/>
    </row>
    <row r="44" spans="1:11">
      <c r="A44" s="917" t="s">
        <v>32</v>
      </c>
      <c r="B44" s="894"/>
      <c r="C44" s="932">
        <v>2008</v>
      </c>
      <c r="D44" s="932">
        <v>2009</v>
      </c>
      <c r="E44" s="932">
        <v>2010</v>
      </c>
      <c r="F44" s="932">
        <v>2011</v>
      </c>
      <c r="G44" s="932">
        <v>2012</v>
      </c>
      <c r="H44" s="932">
        <v>2013</v>
      </c>
    </row>
    <row r="45" spans="1:11">
      <c r="A45" s="895" t="s">
        <v>19</v>
      </c>
      <c r="B45" s="881" t="s">
        <v>2</v>
      </c>
      <c r="C45" s="933">
        <f>171.5-10.9</f>
        <v>160.6</v>
      </c>
      <c r="D45" s="933">
        <f>235.1-14.8</f>
        <v>220.29999999999998</v>
      </c>
      <c r="E45" s="933">
        <v>160.5</v>
      </c>
      <c r="F45" s="934">
        <v>142.69999999999999</v>
      </c>
      <c r="G45" s="934">
        <f>210.5-26.5</f>
        <v>184</v>
      </c>
      <c r="H45" s="934">
        <f>208.4-1.2</f>
        <v>207.20000000000002</v>
      </c>
    </row>
    <row r="46" spans="1:11">
      <c r="A46" s="895" t="s">
        <v>20</v>
      </c>
      <c r="B46" s="894"/>
      <c r="C46" s="935" t="s">
        <v>5</v>
      </c>
      <c r="D46" s="935">
        <f>D45/C45-1</f>
        <v>0.37173100871731002</v>
      </c>
      <c r="E46" s="935">
        <f>E45/D45-1</f>
        <v>-0.27144802541988189</v>
      </c>
      <c r="F46" s="935">
        <f>F45/E45-1</f>
        <v>-0.11090342679127729</v>
      </c>
      <c r="G46" s="935">
        <f>G45/F45-1</f>
        <v>0.28941836019621592</v>
      </c>
      <c r="H46" s="935">
        <f>H45/G45-1</f>
        <v>0.12608695652173929</v>
      </c>
    </row>
    <row r="47" spans="1:11">
      <c r="A47" s="567" t="s">
        <v>33</v>
      </c>
      <c r="B47" s="881" t="s">
        <v>21</v>
      </c>
      <c r="C47" s="936">
        <f t="shared" ref="C47:H47" si="11">C45/C21</f>
        <v>0.19443099273607747</v>
      </c>
      <c r="D47" s="936">
        <f t="shared" si="11"/>
        <v>0.26638452237001209</v>
      </c>
      <c r="E47" s="936">
        <f t="shared" si="11"/>
        <v>0.19314079422382671</v>
      </c>
      <c r="F47" s="936">
        <f t="shared" si="11"/>
        <v>0.17381242387332521</v>
      </c>
      <c r="G47" s="936">
        <f t="shared" si="11"/>
        <v>0.22276029055690072</v>
      </c>
      <c r="H47" s="936">
        <f t="shared" si="11"/>
        <v>0.2517618469015796</v>
      </c>
    </row>
    <row r="48" spans="1:11">
      <c r="A48" s="869"/>
      <c r="B48" s="869"/>
      <c r="C48" s="869"/>
      <c r="D48" s="869"/>
      <c r="E48" s="869"/>
      <c r="F48" s="869"/>
      <c r="G48" s="869"/>
      <c r="H48" s="869"/>
    </row>
  </sheetData>
  <phoneticPr fontId="52" type="noConversion"/>
  <pageMargins left="0.7" right="0.7" top="0.75" bottom="0.75" header="0.3" footer="0.3"/>
  <pageSetup paperSize="9" orientation="portrait" verticalDpi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86"/>
  <sheetViews>
    <sheetView topLeftCell="B15" workbookViewId="0">
      <selection activeCell="B20" sqref="B20"/>
    </sheetView>
  </sheetViews>
  <sheetFormatPr baseColWidth="10" defaultColWidth="8.83203125" defaultRowHeight="15"/>
  <cols>
    <col min="1" max="1" width="27.6640625" style="297" customWidth="1"/>
    <col min="2" max="2" width="11.83203125" style="297" customWidth="1"/>
    <col min="3" max="3" width="9" style="297" customWidth="1"/>
    <col min="4" max="4" width="10.6640625" style="297" bestFit="1" customWidth="1"/>
    <col min="5" max="5" width="11.33203125" style="297" bestFit="1" customWidth="1"/>
    <col min="6" max="6" width="6.6640625" style="297" bestFit="1" customWidth="1"/>
    <col min="7" max="7" width="6.83203125" style="297" customWidth="1"/>
    <col min="8" max="8" width="5.33203125" style="297" bestFit="1" customWidth="1"/>
    <col min="9" max="9" width="8.1640625" style="297" bestFit="1" customWidth="1"/>
    <col min="10" max="10" width="11.6640625" style="297" customWidth="1"/>
    <col min="11" max="11" width="8.1640625" style="297" bestFit="1" customWidth="1"/>
    <col min="12" max="16384" width="8.83203125" style="297"/>
  </cols>
  <sheetData>
    <row r="1" spans="1:17" ht="20">
      <c r="A1" s="1159" t="s">
        <v>25</v>
      </c>
      <c r="B1" s="1159"/>
      <c r="C1" s="1159"/>
      <c r="D1" s="1159"/>
      <c r="E1" s="1159"/>
      <c r="F1" s="1159"/>
      <c r="G1" s="1159"/>
      <c r="H1" s="1159"/>
      <c r="I1" s="1159"/>
      <c r="J1" s="1159"/>
    </row>
    <row r="2" spans="1:17" ht="21" thickBot="1">
      <c r="A2" s="1166" t="s">
        <v>48</v>
      </c>
      <c r="B2" s="1166"/>
      <c r="C2" s="1166"/>
      <c r="D2" s="1166"/>
      <c r="E2" s="1166"/>
      <c r="F2" s="1166"/>
      <c r="G2" s="1166"/>
      <c r="H2" s="1166"/>
      <c r="I2" s="1166"/>
      <c r="J2" s="1166"/>
    </row>
    <row r="3" spans="1:17">
      <c r="A3" s="394"/>
      <c r="B3" s="395"/>
      <c r="C3" s="6"/>
      <c r="D3" s="6"/>
      <c r="E3" s="6"/>
      <c r="F3" s="6"/>
      <c r="G3" s="6"/>
      <c r="H3" s="6"/>
      <c r="I3" s="394"/>
      <c r="J3" s="394"/>
    </row>
    <row r="4" spans="1:17">
      <c r="A4" s="1167" t="s">
        <v>45</v>
      </c>
      <c r="B4" s="1168"/>
      <c r="C4" s="1169"/>
      <c r="D4" s="394"/>
      <c r="F4" s="1163" t="s">
        <v>23</v>
      </c>
      <c r="G4" s="1164"/>
      <c r="H4" s="1164"/>
      <c r="I4" s="1164"/>
      <c r="J4" s="1165"/>
    </row>
    <row r="5" spans="1:17">
      <c r="A5" s="396" t="s">
        <v>35</v>
      </c>
      <c r="B5" s="118"/>
      <c r="C5" s="397">
        <v>2014</v>
      </c>
      <c r="F5" s="121" t="s">
        <v>58</v>
      </c>
      <c r="G5" s="398"/>
      <c r="H5" s="122"/>
      <c r="I5" s="399"/>
      <c r="J5" s="400">
        <v>68.53</v>
      </c>
      <c r="K5" s="297" t="s">
        <v>444</v>
      </c>
    </row>
    <row r="6" spans="1:17">
      <c r="A6" s="187" t="s">
        <v>448</v>
      </c>
      <c r="B6" s="122"/>
      <c r="C6" s="401"/>
      <c r="F6" s="121" t="s">
        <v>59</v>
      </c>
      <c r="G6" s="398"/>
      <c r="H6" s="122"/>
      <c r="I6" s="399"/>
      <c r="J6" s="400">
        <v>65.790000000000006</v>
      </c>
    </row>
    <row r="7" spans="1:17">
      <c r="A7" s="1160" t="s">
        <v>457</v>
      </c>
      <c r="B7" s="1161"/>
      <c r="C7" s="1162"/>
      <c r="D7" s="967">
        <v>1.2E-2</v>
      </c>
      <c r="F7" s="124" t="s">
        <v>60</v>
      </c>
      <c r="G7" s="125"/>
      <c r="H7" s="125"/>
      <c r="I7" s="402"/>
      <c r="J7" s="403">
        <v>0.97</v>
      </c>
    </row>
    <row r="8" spans="1:17">
      <c r="A8" s="404" t="s">
        <v>447</v>
      </c>
      <c r="B8" s="405">
        <v>9.2829999999999996E-3</v>
      </c>
      <c r="C8" s="406"/>
      <c r="E8" s="122"/>
      <c r="F8" s="122"/>
      <c r="G8" s="122"/>
      <c r="H8" s="399"/>
      <c r="I8" s="407"/>
    </row>
    <row r="9" spans="1:17">
      <c r="A9" s="408" t="s">
        <v>36</v>
      </c>
      <c r="B9" s="409"/>
      <c r="C9" s="410"/>
      <c r="F9" s="1163" t="s">
        <v>51</v>
      </c>
      <c r="G9" s="1164"/>
      <c r="H9" s="1164"/>
      <c r="I9" s="1164"/>
      <c r="J9" s="1165"/>
    </row>
    <row r="10" spans="1:17">
      <c r="A10" s="394"/>
      <c r="B10" s="395"/>
      <c r="C10" s="6"/>
      <c r="D10" s="6"/>
      <c r="F10" s="411" t="s">
        <v>50</v>
      </c>
      <c r="G10" s="125"/>
      <c r="H10" s="125"/>
      <c r="I10" s="125"/>
      <c r="J10" s="412">
        <v>0.26</v>
      </c>
      <c r="O10" s="413"/>
    </row>
    <row r="11" spans="1:17">
      <c r="A11" s="1167" t="s">
        <v>46</v>
      </c>
      <c r="B11" s="1168"/>
      <c r="C11" s="1169"/>
      <c r="D11" s="394"/>
    </row>
    <row r="12" spans="1:17">
      <c r="A12" s="414" t="s">
        <v>315</v>
      </c>
      <c r="B12" s="415"/>
      <c r="C12" s="416"/>
      <c r="D12" s="394"/>
      <c r="F12" s="1163" t="s">
        <v>52</v>
      </c>
      <c r="G12" s="1164"/>
      <c r="H12" s="1164"/>
      <c r="I12" s="1164"/>
      <c r="J12" s="1165"/>
    </row>
    <row r="13" spans="1:17">
      <c r="A13" s="417" t="s">
        <v>458</v>
      </c>
      <c r="B13" s="418" t="s">
        <v>383</v>
      </c>
      <c r="C13" s="419" t="s">
        <v>378</v>
      </c>
      <c r="D13" s="6"/>
      <c r="F13" s="420" t="s">
        <v>40</v>
      </c>
      <c r="G13" s="118"/>
      <c r="H13" s="118"/>
      <c r="I13" s="118"/>
      <c r="J13" s="421"/>
    </row>
    <row r="14" spans="1:17">
      <c r="A14" s="12" t="s">
        <v>37</v>
      </c>
      <c r="B14" s="422">
        <v>2.1000000000000001E-2</v>
      </c>
      <c r="C14" s="423">
        <f>B14</f>
        <v>2.1000000000000001E-2</v>
      </c>
      <c r="D14" s="424"/>
      <c r="F14" s="425" t="s">
        <v>54</v>
      </c>
      <c r="G14" s="122"/>
      <c r="H14" s="122"/>
      <c r="I14" s="426"/>
      <c r="J14" s="427">
        <v>0.01</v>
      </c>
    </row>
    <row r="15" spans="1:17">
      <c r="A15" s="12" t="s">
        <v>38</v>
      </c>
      <c r="B15" s="428">
        <v>0.03</v>
      </c>
      <c r="C15" s="429">
        <v>2.5000000000000001E-2</v>
      </c>
      <c r="D15" s="424"/>
      <c r="F15" s="430" t="s">
        <v>53</v>
      </c>
      <c r="G15" s="122"/>
      <c r="H15" s="122"/>
      <c r="I15" s="426"/>
      <c r="J15" s="427">
        <v>0.03</v>
      </c>
      <c r="K15" s="424"/>
      <c r="L15" s="424"/>
      <c r="M15" s="424"/>
      <c r="N15" s="424"/>
      <c r="O15" s="424"/>
      <c r="P15" s="424"/>
      <c r="Q15" s="424"/>
    </row>
    <row r="16" spans="1:17">
      <c r="A16" s="12" t="s">
        <v>39</v>
      </c>
      <c r="B16" s="431">
        <v>-0.02</v>
      </c>
      <c r="C16" s="429">
        <v>-5.0000000000000001E-3</v>
      </c>
      <c r="D16" s="424"/>
      <c r="F16" s="430" t="s">
        <v>55</v>
      </c>
      <c r="G16" s="122"/>
      <c r="H16" s="122"/>
      <c r="I16" s="122"/>
      <c r="J16" s="427"/>
    </row>
    <row r="17" spans="1:11">
      <c r="A17" s="12"/>
      <c r="B17" s="431"/>
      <c r="C17" s="429"/>
      <c r="D17" s="424"/>
      <c r="F17" s="430"/>
      <c r="G17" s="122"/>
      <c r="H17" s="122"/>
      <c r="I17" s="122"/>
      <c r="J17" s="427"/>
    </row>
    <row r="18" spans="1:11">
      <c r="A18" s="417" t="s">
        <v>460</v>
      </c>
      <c r="B18" s="432" t="s">
        <v>455</v>
      </c>
      <c r="C18" s="433" t="s">
        <v>459</v>
      </c>
      <c r="D18" s="424"/>
      <c r="F18" s="436" t="s">
        <v>56</v>
      </c>
      <c r="G18" s="12"/>
      <c r="H18" s="12"/>
      <c r="I18" s="12"/>
      <c r="J18" s="437">
        <v>4.9799999999999997E-2</v>
      </c>
    </row>
    <row r="19" spans="1:11">
      <c r="A19" s="12" t="s">
        <v>37</v>
      </c>
      <c r="B19" s="434">
        <v>2.8955128115142115E-2</v>
      </c>
      <c r="C19" s="429">
        <f>B19</f>
        <v>2.8955128115142115E-2</v>
      </c>
      <c r="D19" s="424"/>
      <c r="F19" s="438" t="s">
        <v>57</v>
      </c>
      <c r="G19" s="8"/>
      <c r="H19" s="8"/>
      <c r="I19" s="8"/>
      <c r="J19" s="439">
        <v>5.9700000000000003E-2</v>
      </c>
    </row>
    <row r="20" spans="1:11">
      <c r="A20" s="12" t="s">
        <v>38</v>
      </c>
      <c r="B20" s="435">
        <v>3.9466270060336602E-2</v>
      </c>
      <c r="C20" s="429">
        <v>3.5000000000000003E-2</v>
      </c>
      <c r="D20" s="424"/>
      <c r="F20" s="475"/>
      <c r="G20" s="118"/>
      <c r="H20" s="118"/>
      <c r="I20" s="118"/>
      <c r="J20" s="476"/>
    </row>
    <row r="21" spans="1:11">
      <c r="A21" s="12" t="s">
        <v>39</v>
      </c>
      <c r="B21" s="431">
        <v>-0.01</v>
      </c>
      <c r="C21" s="429">
        <v>-5.0000000000000001E-3</v>
      </c>
      <c r="D21" s="424"/>
      <c r="E21" s="471"/>
      <c r="F21" s="472"/>
      <c r="G21" s="122"/>
      <c r="H21" s="122"/>
      <c r="I21" s="122"/>
      <c r="J21" s="473"/>
      <c r="K21" s="471"/>
    </row>
    <row r="22" spans="1:11">
      <c r="A22" s="12"/>
      <c r="B22" s="431"/>
      <c r="C22" s="429"/>
      <c r="D22" s="424"/>
      <c r="E22" s="471"/>
      <c r="F22" s="471"/>
      <c r="G22" s="471"/>
      <c r="H22" s="471"/>
      <c r="I22" s="471"/>
      <c r="J22" s="471"/>
      <c r="K22" s="471"/>
    </row>
    <row r="23" spans="1:11">
      <c r="A23" s="12"/>
      <c r="B23" s="431"/>
      <c r="C23" s="429"/>
      <c r="D23" s="424"/>
      <c r="E23" s="471"/>
      <c r="F23" s="471"/>
      <c r="G23" s="471"/>
      <c r="H23" s="471"/>
      <c r="I23" s="471"/>
      <c r="J23" s="471"/>
      <c r="K23" s="471"/>
    </row>
    <row r="24" spans="1:11">
      <c r="A24" s="417" t="s">
        <v>379</v>
      </c>
      <c r="B24" s="431"/>
      <c r="C24" s="429"/>
      <c r="D24" s="424"/>
      <c r="E24" s="471"/>
      <c r="F24" s="471"/>
      <c r="G24" s="471"/>
      <c r="H24" s="471"/>
      <c r="I24" s="471"/>
      <c r="J24" s="471"/>
      <c r="K24" s="471"/>
    </row>
    <row r="25" spans="1:11">
      <c r="A25" s="12" t="s">
        <v>380</v>
      </c>
      <c r="B25" s="431">
        <v>2.5999999999999999E-3</v>
      </c>
      <c r="C25" s="429">
        <v>0</v>
      </c>
      <c r="D25" s="424"/>
      <c r="E25" s="471"/>
      <c r="F25" s="474"/>
      <c r="G25" s="12"/>
      <c r="H25" s="12"/>
      <c r="I25" s="12"/>
      <c r="J25" s="32"/>
      <c r="K25" s="471"/>
    </row>
    <row r="26" spans="1:11">
      <c r="A26" s="12" t="s">
        <v>381</v>
      </c>
      <c r="B26" s="431">
        <v>6.0000000000000001E-3</v>
      </c>
      <c r="C26" s="429">
        <v>0</v>
      </c>
      <c r="D26" s="424"/>
      <c r="E26" s="471"/>
      <c r="F26" s="474"/>
      <c r="G26" s="12"/>
      <c r="H26" s="12"/>
      <c r="I26" s="12"/>
      <c r="J26" s="32"/>
      <c r="K26" s="471"/>
    </row>
    <row r="27" spans="1:11">
      <c r="A27" s="12" t="s">
        <v>382</v>
      </c>
      <c r="B27" s="431">
        <v>-4.0000000000000001E-3</v>
      </c>
      <c r="C27" s="429">
        <v>0</v>
      </c>
      <c r="D27" s="424"/>
      <c r="E27" s="471"/>
      <c r="F27" s="474"/>
      <c r="G27" s="12"/>
      <c r="H27" s="12"/>
      <c r="I27" s="12"/>
      <c r="J27" s="32"/>
      <c r="K27" s="471"/>
    </row>
    <row r="28" spans="1:11">
      <c r="A28" s="12"/>
      <c r="B28" s="440"/>
      <c r="C28" s="441"/>
      <c r="D28" s="424"/>
      <c r="E28" s="471"/>
      <c r="F28" s="472"/>
      <c r="G28" s="122"/>
      <c r="H28" s="122"/>
      <c r="I28" s="122"/>
      <c r="J28" s="473"/>
      <c r="K28" s="471"/>
    </row>
    <row r="29" spans="1:11">
      <c r="A29" s="477"/>
      <c r="B29" s="131"/>
      <c r="C29" s="478"/>
      <c r="D29" s="424"/>
      <c r="E29" s="471"/>
      <c r="F29" s="471"/>
      <c r="G29" s="471"/>
      <c r="H29" s="471"/>
      <c r="I29" s="471"/>
      <c r="J29" s="471"/>
      <c r="K29" s="471"/>
    </row>
    <row r="30" spans="1:11">
      <c r="A30" s="482"/>
      <c r="B30" s="13"/>
      <c r="C30" s="416"/>
      <c r="D30" s="6"/>
      <c r="E30" s="3"/>
    </row>
    <row r="31" spans="1:11">
      <c r="A31" s="483"/>
      <c r="B31" s="479" t="s">
        <v>453</v>
      </c>
      <c r="C31" s="484" t="s">
        <v>454</v>
      </c>
    </row>
    <row r="32" spans="1:11">
      <c r="A32" s="485" t="s">
        <v>449</v>
      </c>
      <c r="B32" s="480"/>
      <c r="C32" s="486"/>
    </row>
    <row r="33" spans="1:9">
      <c r="A33" s="487" t="s">
        <v>450</v>
      </c>
      <c r="B33" s="481">
        <v>2</v>
      </c>
      <c r="C33" s="488">
        <v>0</v>
      </c>
      <c r="E33" s="3"/>
    </row>
    <row r="34" spans="1:9">
      <c r="A34" s="487" t="s">
        <v>451</v>
      </c>
      <c r="B34" s="481">
        <v>4</v>
      </c>
      <c r="C34" s="489">
        <v>0</v>
      </c>
      <c r="E34" s="3"/>
    </row>
    <row r="35" spans="1:9">
      <c r="A35" s="487" t="s">
        <v>452</v>
      </c>
      <c r="B35" s="481">
        <v>-2</v>
      </c>
      <c r="C35" s="489">
        <v>0</v>
      </c>
    </row>
    <row r="36" spans="1:9">
      <c r="A36" s="483"/>
      <c r="B36" s="471"/>
      <c r="C36" s="490"/>
    </row>
    <row r="37" spans="1:9">
      <c r="A37" s="491"/>
      <c r="B37" s="492"/>
      <c r="C37" s="493"/>
    </row>
    <row r="41" spans="1:9">
      <c r="E41" s="442"/>
      <c r="F41" s="442"/>
      <c r="G41" s="122"/>
      <c r="H41" s="122"/>
      <c r="I41" s="122"/>
    </row>
    <row r="42" spans="1:9">
      <c r="E42" s="443"/>
      <c r="F42" s="12"/>
      <c r="G42" s="122"/>
      <c r="H42" s="122"/>
      <c r="I42" s="444"/>
    </row>
    <row r="43" spans="1:9">
      <c r="A43" s="494" t="s">
        <v>279</v>
      </c>
      <c r="B43" s="495"/>
      <c r="C43" s="496"/>
      <c r="D43" s="497"/>
    </row>
    <row r="44" spans="1:9">
      <c r="A44" s="446"/>
      <c r="B44" s="447"/>
      <c r="C44" s="442"/>
      <c r="D44" s="248"/>
      <c r="E44" s="6"/>
      <c r="F44" s="6"/>
      <c r="G44" s="6"/>
    </row>
    <row r="45" spans="1:9">
      <c r="A45" s="446" t="s">
        <v>31</v>
      </c>
      <c r="B45" s="66" t="s">
        <v>47</v>
      </c>
      <c r="C45" s="418" t="s">
        <v>384</v>
      </c>
      <c r="D45" s="448" t="s">
        <v>378</v>
      </c>
      <c r="E45" s="197"/>
      <c r="F45" s="197"/>
      <c r="G45" s="197"/>
    </row>
    <row r="46" spans="1:9">
      <c r="A46" s="449" t="s">
        <v>278</v>
      </c>
      <c r="B46" s="74">
        <v>0.81</v>
      </c>
      <c r="C46" s="74">
        <v>0.81</v>
      </c>
      <c r="D46" s="429">
        <v>0.81</v>
      </c>
      <c r="E46" s="197"/>
      <c r="F46" s="197"/>
      <c r="G46" s="197"/>
    </row>
    <row r="47" spans="1:9">
      <c r="A47" s="12" t="s">
        <v>38</v>
      </c>
      <c r="B47" s="450">
        <v>0.73</v>
      </c>
      <c r="C47" s="74">
        <v>0.72</v>
      </c>
      <c r="D47" s="451">
        <v>0.71</v>
      </c>
      <c r="E47" s="197"/>
      <c r="F47" s="197"/>
      <c r="G47" s="197"/>
    </row>
    <row r="48" spans="1:9">
      <c r="A48" s="12" t="s">
        <v>39</v>
      </c>
      <c r="B48" s="450">
        <v>0.83</v>
      </c>
      <c r="C48" s="74">
        <v>0.83499999999999996</v>
      </c>
      <c r="D48" s="452">
        <v>0.83499999999999996</v>
      </c>
      <c r="E48" s="197"/>
      <c r="F48" s="197"/>
      <c r="G48" s="197"/>
    </row>
    <row r="49" spans="1:10">
      <c r="A49" s="12"/>
      <c r="B49" s="450"/>
      <c r="C49" s="74"/>
      <c r="D49" s="452"/>
      <c r="I49" s="394"/>
      <c r="J49" s="394"/>
    </row>
    <row r="50" spans="1:10">
      <c r="A50" s="417" t="s">
        <v>391</v>
      </c>
      <c r="B50" s="12"/>
      <c r="C50" s="12"/>
      <c r="D50" s="453"/>
      <c r="I50" s="394"/>
      <c r="J50" s="394"/>
    </row>
    <row r="51" spans="1:10">
      <c r="A51" s="12" t="s">
        <v>37</v>
      </c>
      <c r="B51" s="454">
        <v>0.11749999999999999</v>
      </c>
      <c r="C51" s="455">
        <v>0.11749999999999999</v>
      </c>
      <c r="D51" s="456">
        <v>0.11749999999999999</v>
      </c>
      <c r="I51" s="394"/>
    </row>
    <row r="52" spans="1:10">
      <c r="A52" s="12" t="s">
        <v>38</v>
      </c>
      <c r="B52" s="454">
        <v>0.14749999999999999</v>
      </c>
      <c r="C52" s="454">
        <v>0.15</v>
      </c>
      <c r="D52" s="454">
        <v>0.15</v>
      </c>
      <c r="H52" s="394"/>
    </row>
    <row r="53" spans="1:10">
      <c r="A53" s="12" t="s">
        <v>39</v>
      </c>
      <c r="B53" s="454">
        <v>0.1275</v>
      </c>
      <c r="C53" s="455">
        <v>0.1275</v>
      </c>
      <c r="D53" s="457">
        <v>0.1275</v>
      </c>
      <c r="H53" s="12"/>
      <c r="I53" s="394"/>
    </row>
    <row r="54" spans="1:10">
      <c r="A54" s="8"/>
      <c r="B54" s="8"/>
      <c r="C54" s="8"/>
      <c r="D54" s="247"/>
      <c r="H54" s="21"/>
      <c r="I54" s="394"/>
    </row>
    <row r="55" spans="1:10">
      <c r="A55" s="1156" t="s">
        <v>49</v>
      </c>
      <c r="B55" s="1157"/>
      <c r="C55" s="1157"/>
      <c r="D55" s="1158"/>
      <c r="H55" s="12"/>
      <c r="I55" s="394"/>
    </row>
    <row r="56" spans="1:10">
      <c r="A56" s="12" t="s">
        <v>658</v>
      </c>
      <c r="B56" s="458"/>
      <c r="C56" s="122"/>
      <c r="D56" s="406"/>
      <c r="H56" s="459"/>
      <c r="I56" s="394"/>
    </row>
    <row r="57" spans="1:10">
      <c r="A57" s="866" t="s">
        <v>659</v>
      </c>
      <c r="B57" s="458"/>
      <c r="C57" s="122"/>
      <c r="D57" s="460"/>
      <c r="I57" s="459"/>
      <c r="J57" s="394"/>
    </row>
    <row r="58" spans="1:10">
      <c r="A58" s="187" t="s">
        <v>442</v>
      </c>
      <c r="B58" s="458"/>
      <c r="C58" s="122"/>
      <c r="D58" s="460"/>
      <c r="I58" s="12"/>
      <c r="J58" s="461"/>
    </row>
    <row r="59" spans="1:10">
      <c r="A59" s="187" t="s">
        <v>443</v>
      </c>
      <c r="B59" s="458"/>
      <c r="C59" s="122"/>
      <c r="D59" s="460"/>
      <c r="I59" s="12"/>
      <c r="J59" s="461"/>
    </row>
    <row r="60" spans="1:10">
      <c r="A60" s="1153" t="s">
        <v>41</v>
      </c>
      <c r="B60" s="1154"/>
      <c r="C60" s="1154"/>
      <c r="D60" s="1154"/>
      <c r="E60" s="1154"/>
      <c r="F60" s="1155"/>
      <c r="I60" s="12"/>
      <c r="J60" s="12"/>
    </row>
    <row r="61" spans="1:10">
      <c r="A61" s="462" t="s">
        <v>42</v>
      </c>
      <c r="B61" s="463">
        <v>2014</v>
      </c>
      <c r="C61" s="463">
        <v>2015</v>
      </c>
      <c r="D61" s="463">
        <v>2016</v>
      </c>
      <c r="E61" s="463">
        <v>2017</v>
      </c>
      <c r="F61" s="464">
        <v>2018</v>
      </c>
      <c r="J61" s="12"/>
    </row>
    <row r="62" spans="1:10">
      <c r="A62" s="465"/>
      <c r="B62" s="13"/>
      <c r="C62" s="13"/>
      <c r="D62" s="13"/>
      <c r="E62" s="13"/>
      <c r="F62" s="445"/>
    </row>
    <row r="63" spans="1:10">
      <c r="A63" s="466" t="s">
        <v>24</v>
      </c>
      <c r="B63" s="116">
        <v>9.94</v>
      </c>
      <c r="C63" s="116">
        <v>9.94</v>
      </c>
      <c r="D63" s="116">
        <v>9.94</v>
      </c>
      <c r="E63" s="116">
        <v>9.94</v>
      </c>
      <c r="F63" s="116">
        <v>9.94</v>
      </c>
    </row>
    <row r="64" spans="1:10">
      <c r="A64" s="466" t="s">
        <v>43</v>
      </c>
      <c r="B64" s="116">
        <v>29.34</v>
      </c>
      <c r="C64" s="116">
        <v>29.34</v>
      </c>
      <c r="D64" s="116">
        <v>29.34</v>
      </c>
      <c r="E64" s="116">
        <v>29.34</v>
      </c>
      <c r="F64" s="116">
        <v>29.34</v>
      </c>
    </row>
    <row r="65" spans="1:7">
      <c r="A65" s="466" t="s">
        <v>44</v>
      </c>
      <c r="B65" s="116">
        <v>41.5</v>
      </c>
      <c r="C65" s="116">
        <v>41.5</v>
      </c>
      <c r="D65" s="116">
        <v>41.5</v>
      </c>
      <c r="E65" s="116">
        <v>41.5</v>
      </c>
      <c r="F65" s="467">
        <v>41.5</v>
      </c>
    </row>
    <row r="66" spans="1:7">
      <c r="A66" s="468"/>
      <c r="B66" s="8"/>
      <c r="C66" s="8"/>
      <c r="D66" s="8"/>
      <c r="E66" s="469"/>
      <c r="F66" s="470"/>
    </row>
    <row r="67" spans="1:7">
      <c r="A67" s="954" t="s">
        <v>662</v>
      </c>
      <c r="B67" s="1043">
        <v>2014</v>
      </c>
      <c r="C67" s="1043">
        <v>2015</v>
      </c>
      <c r="D67" s="1043">
        <v>2016</v>
      </c>
      <c r="E67" s="1043">
        <v>2017</v>
      </c>
      <c r="F67" s="1043">
        <v>2018</v>
      </c>
      <c r="G67" s="1044" t="s">
        <v>705</v>
      </c>
    </row>
    <row r="68" spans="1:7">
      <c r="B68" s="147">
        <f>-40</f>
        <v>-40</v>
      </c>
      <c r="C68" s="147">
        <f t="shared" ref="C68:F68" si="0">-40</f>
        <v>-40</v>
      </c>
      <c r="D68" s="147">
        <f t="shared" si="0"/>
        <v>-40</v>
      </c>
      <c r="E68" s="147">
        <f t="shared" si="0"/>
        <v>-40</v>
      </c>
      <c r="F68" s="147">
        <f t="shared" si="0"/>
        <v>-40</v>
      </c>
      <c r="G68" s="147">
        <f>-10</f>
        <v>-10</v>
      </c>
    </row>
    <row r="69" spans="1:7">
      <c r="A69" s="954" t="s">
        <v>679</v>
      </c>
    </row>
    <row r="70" spans="1:7">
      <c r="A70" s="969">
        <v>0.18</v>
      </c>
    </row>
    <row r="74" spans="1:7">
      <c r="A74" s="1042" t="s">
        <v>702</v>
      </c>
      <c r="B74" s="1043">
        <v>2014</v>
      </c>
      <c r="C74" s="1043">
        <v>2015</v>
      </c>
      <c r="D74" s="1043">
        <v>2016</v>
      </c>
      <c r="E74" s="1043">
        <v>2017</v>
      </c>
      <c r="F74" s="1043">
        <v>2018</v>
      </c>
      <c r="G74" s="1044" t="s">
        <v>705</v>
      </c>
    </row>
    <row r="75" spans="1:7">
      <c r="A75" s="1045"/>
      <c r="B75" s="1046"/>
      <c r="C75" s="1046"/>
      <c r="D75" s="1046"/>
      <c r="E75" s="1046"/>
      <c r="F75" s="1046"/>
      <c r="G75" s="1047"/>
    </row>
    <row r="76" spans="1:7">
      <c r="A76" s="1048"/>
      <c r="B76" s="1049"/>
      <c r="C76" s="1049"/>
      <c r="D76" s="1049"/>
      <c r="E76" s="1049"/>
      <c r="F76" s="1049"/>
      <c r="G76" s="1050"/>
    </row>
    <row r="77" spans="1:7">
      <c r="A77" s="1048"/>
      <c r="B77" s="1049"/>
      <c r="C77" s="1049"/>
      <c r="D77" s="1049"/>
      <c r="E77" s="1049"/>
      <c r="F77" s="1049"/>
      <c r="G77" s="1050"/>
    </row>
    <row r="78" spans="1:7">
      <c r="A78" s="1048" t="s">
        <v>732</v>
      </c>
      <c r="B78" s="1049">
        <v>-6.8</v>
      </c>
      <c r="C78" s="1049">
        <v>-5.7</v>
      </c>
      <c r="D78" s="1049">
        <v>-6</v>
      </c>
      <c r="E78" s="1049">
        <v>-5.8</v>
      </c>
      <c r="F78" s="1049">
        <v>-5.4</v>
      </c>
      <c r="G78" s="1050">
        <v>-30.1</v>
      </c>
    </row>
    <row r="79" spans="1:7">
      <c r="A79" s="1048"/>
      <c r="B79" s="1049"/>
      <c r="C79" s="1049"/>
      <c r="D79" s="1049"/>
      <c r="E79" s="1049"/>
      <c r="F79" s="1049"/>
      <c r="G79" s="1050"/>
    </row>
    <row r="80" spans="1:7">
      <c r="A80" s="1051" t="s">
        <v>706</v>
      </c>
      <c r="B80" s="1049">
        <v>0</v>
      </c>
      <c r="C80" s="1049">
        <v>-200</v>
      </c>
      <c r="D80" s="1049">
        <v>0</v>
      </c>
      <c r="E80" s="1049">
        <v>0</v>
      </c>
      <c r="F80" s="1049">
        <v>0</v>
      </c>
      <c r="G80" s="1050">
        <v>0</v>
      </c>
    </row>
    <row r="81" spans="1:7">
      <c r="A81" s="1051" t="s">
        <v>707</v>
      </c>
      <c r="B81" s="1049">
        <v>0</v>
      </c>
      <c r="C81" s="1049">
        <v>0</v>
      </c>
      <c r="D81" s="1049">
        <v>0</v>
      </c>
      <c r="E81" s="1049">
        <v>0</v>
      </c>
      <c r="F81" s="1049">
        <v>0</v>
      </c>
      <c r="G81" s="1050">
        <v>0</v>
      </c>
    </row>
    <row r="82" spans="1:7">
      <c r="A82" s="1062" t="s">
        <v>731</v>
      </c>
      <c r="B82" s="1049">
        <v>8.6</v>
      </c>
      <c r="C82" s="1049">
        <v>1.7</v>
      </c>
      <c r="D82" s="1049">
        <v>1.1000000000000001</v>
      </c>
      <c r="E82" s="1049">
        <v>0.8</v>
      </c>
      <c r="F82" s="1049">
        <v>0.4</v>
      </c>
      <c r="G82" s="1050">
        <v>15.5</v>
      </c>
    </row>
    <row r="83" spans="1:7">
      <c r="A83" s="1048" t="s">
        <v>703</v>
      </c>
      <c r="B83" s="1049">
        <v>-206.56521443401297</v>
      </c>
      <c r="C83" s="1049">
        <v>0</v>
      </c>
      <c r="D83" s="1049">
        <v>-203.375266399428</v>
      </c>
      <c r="E83" s="1049">
        <v>-204.699761008286</v>
      </c>
      <c r="F83" s="1049">
        <v>-210.589495426197</v>
      </c>
      <c r="G83" s="1050">
        <v>-221</v>
      </c>
    </row>
    <row r="84" spans="1:7">
      <c r="A84" s="1048" t="s">
        <v>708</v>
      </c>
      <c r="B84" s="1052"/>
      <c r="C84" s="1049">
        <v>0</v>
      </c>
      <c r="D84" s="1049">
        <v>0</v>
      </c>
      <c r="E84" s="1049">
        <v>0</v>
      </c>
      <c r="F84" s="1049">
        <v>0</v>
      </c>
      <c r="G84" s="1050">
        <v>0</v>
      </c>
    </row>
    <row r="85" spans="1:7">
      <c r="A85" s="1048" t="s">
        <v>704</v>
      </c>
      <c r="B85" s="1049">
        <v>0</v>
      </c>
      <c r="C85" s="1049">
        <v>0</v>
      </c>
      <c r="D85" s="1049">
        <v>0</v>
      </c>
      <c r="E85" s="1049">
        <v>0</v>
      </c>
      <c r="F85" s="1049">
        <v>0</v>
      </c>
      <c r="G85" s="1050">
        <f>F85</f>
        <v>0</v>
      </c>
    </row>
    <row r="86" spans="1:7">
      <c r="A86" s="1053"/>
      <c r="B86" s="1054"/>
      <c r="C86" s="1055"/>
      <c r="D86" s="1056"/>
      <c r="E86" s="1055"/>
      <c r="F86" s="1055"/>
      <c r="G86" s="1057"/>
    </row>
  </sheetData>
  <mergeCells count="10">
    <mergeCell ref="A60:F60"/>
    <mergeCell ref="A55:D55"/>
    <mergeCell ref="A1:J1"/>
    <mergeCell ref="A7:C7"/>
    <mergeCell ref="F4:J4"/>
    <mergeCell ref="F9:J9"/>
    <mergeCell ref="A2:J2"/>
    <mergeCell ref="A4:C4"/>
    <mergeCell ref="A11:C11"/>
    <mergeCell ref="F12:J12"/>
  </mergeCells>
  <phoneticPr fontId="52" type="noConversion"/>
  <pageMargins left="0.7" right="0.7" top="0.75" bottom="0.75" header="0.3" footer="0.3"/>
  <pageSetup paperSize="9" orientation="portrait" verticalDpi="0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69"/>
  <sheetViews>
    <sheetView workbookViewId="0">
      <selection activeCell="A7" sqref="A7:N70"/>
    </sheetView>
  </sheetViews>
  <sheetFormatPr baseColWidth="10" defaultColWidth="8.83203125" defaultRowHeight="15"/>
  <cols>
    <col min="1" max="16384" width="8.83203125" style="297"/>
  </cols>
  <sheetData>
    <row r="1" spans="1:14" ht="20.25" customHeight="1">
      <c r="A1" s="1170" t="s">
        <v>25</v>
      </c>
      <c r="B1" s="1170"/>
      <c r="C1" s="1170"/>
      <c r="D1" s="1170"/>
      <c r="E1" s="1170"/>
      <c r="F1" s="1170"/>
      <c r="G1" s="1170"/>
      <c r="H1" s="1170"/>
      <c r="I1" s="1170"/>
      <c r="J1" s="1170"/>
      <c r="K1" s="1170"/>
      <c r="L1" s="1170"/>
      <c r="M1" s="1170"/>
      <c r="N1" s="1170"/>
    </row>
    <row r="2" spans="1:14" ht="17.25" customHeight="1" thickBot="1">
      <c r="A2" s="1171" t="s">
        <v>259</v>
      </c>
      <c r="B2" s="1172"/>
      <c r="C2" s="1172"/>
      <c r="D2" s="1172"/>
      <c r="E2" s="1172"/>
      <c r="F2" s="1172"/>
      <c r="G2" s="1172"/>
      <c r="H2" s="1172"/>
      <c r="I2" s="1172"/>
      <c r="J2" s="1172"/>
      <c r="K2" s="1172"/>
      <c r="L2" s="1172"/>
      <c r="M2" s="1172"/>
      <c r="N2" s="1172"/>
    </row>
    <row r="3" spans="1:14">
      <c r="A3" s="298"/>
      <c r="B3" s="298"/>
      <c r="C3" s="298"/>
      <c r="D3" s="298"/>
      <c r="E3" s="298"/>
      <c r="F3" s="298"/>
      <c r="G3" s="298"/>
      <c r="H3" s="298"/>
      <c r="I3" s="298"/>
      <c r="J3" s="298"/>
      <c r="K3" s="298"/>
      <c r="L3" s="298"/>
      <c r="M3" s="298"/>
      <c r="N3" s="298"/>
    </row>
    <row r="4" spans="1:14">
      <c r="A4" s="380"/>
      <c r="B4" s="381"/>
      <c r="C4" s="381"/>
      <c r="D4" s="382"/>
      <c r="E4" s="383"/>
      <c r="F4" s="298"/>
      <c r="G4" s="298"/>
      <c r="H4" s="298"/>
      <c r="I4" s="298"/>
      <c r="J4" s="298"/>
      <c r="K4" s="298"/>
      <c r="L4" s="298"/>
      <c r="M4" s="298"/>
      <c r="N4" s="298"/>
    </row>
    <row r="5" spans="1:14">
      <c r="A5" s="384" t="s">
        <v>266</v>
      </c>
      <c r="B5" s="385"/>
      <c r="C5" s="386">
        <v>1</v>
      </c>
      <c r="D5" s="387" t="e">
        <f>I13:I15</f>
        <v>#VALUE!</v>
      </c>
      <c r="E5" s="388"/>
      <c r="F5" s="298"/>
      <c r="G5" s="299"/>
      <c r="H5" s="298"/>
      <c r="I5" s="298"/>
      <c r="J5" s="298"/>
      <c r="K5" s="298"/>
      <c r="L5" s="298"/>
      <c r="M5" s="298"/>
      <c r="N5" s="298"/>
    </row>
    <row r="6" spans="1:14">
      <c r="A6" s="389"/>
      <c r="B6" s="390"/>
      <c r="C6" s="390"/>
      <c r="D6" s="391"/>
      <c r="E6" s="392"/>
      <c r="F6" s="298"/>
      <c r="G6" s="298"/>
      <c r="H6" s="298"/>
      <c r="I6" s="298"/>
      <c r="J6" s="298"/>
      <c r="K6" s="298"/>
      <c r="L6" s="298"/>
      <c r="M6" s="298"/>
      <c r="N6" s="298"/>
    </row>
    <row r="7" spans="1:14">
      <c r="A7" s="298"/>
      <c r="B7" s="298"/>
      <c r="C7" s="298"/>
      <c r="D7" s="298"/>
      <c r="E7" s="298"/>
      <c r="F7" s="298"/>
      <c r="G7" s="298"/>
      <c r="H7" s="298"/>
      <c r="I7" s="1173" t="s">
        <v>265</v>
      </c>
      <c r="J7" s="1173"/>
      <c r="K7" s="1173"/>
      <c r="L7" s="1173"/>
      <c r="M7" s="1173"/>
      <c r="N7" s="1173"/>
    </row>
    <row r="8" spans="1:14">
      <c r="A8" s="298"/>
      <c r="B8" s="298"/>
      <c r="C8" s="298"/>
      <c r="D8" s="298"/>
      <c r="E8" s="298"/>
      <c r="F8" s="298"/>
      <c r="G8" s="298"/>
      <c r="H8" s="298"/>
      <c r="I8" s="300"/>
      <c r="J8" s="301"/>
      <c r="K8" s="301"/>
      <c r="L8" s="301"/>
      <c r="M8" s="301"/>
      <c r="N8" s="301"/>
    </row>
    <row r="9" spans="1:14">
      <c r="A9" s="302" t="s">
        <v>264</v>
      </c>
      <c r="B9" s="302"/>
      <c r="C9" s="298"/>
      <c r="D9" s="298"/>
      <c r="E9" s="298"/>
      <c r="F9" s="303">
        <v>2011</v>
      </c>
      <c r="G9" s="303">
        <v>2012</v>
      </c>
      <c r="H9" s="303">
        <v>2013</v>
      </c>
      <c r="I9" s="304">
        <v>2014</v>
      </c>
      <c r="J9" s="304">
        <f>I9+1</f>
        <v>2015</v>
      </c>
      <c r="K9" s="304">
        <f>J9+1</f>
        <v>2016</v>
      </c>
      <c r="L9" s="304">
        <f>K9+1</f>
        <v>2017</v>
      </c>
      <c r="M9" s="304">
        <f>L9+1</f>
        <v>2018</v>
      </c>
      <c r="N9" s="305" t="s">
        <v>276</v>
      </c>
    </row>
    <row r="10" spans="1:14">
      <c r="A10" s="298"/>
      <c r="B10" s="298"/>
      <c r="C10" s="298"/>
      <c r="D10" s="298"/>
      <c r="E10" s="298"/>
      <c r="F10" s="298"/>
      <c r="G10" s="298"/>
      <c r="H10" s="298"/>
      <c r="I10" s="301"/>
      <c r="J10" s="301"/>
      <c r="K10" s="301"/>
      <c r="L10" s="301"/>
      <c r="M10" s="301"/>
      <c r="N10" s="301"/>
    </row>
    <row r="11" spans="1:14">
      <c r="A11" s="302" t="s">
        <v>462</v>
      </c>
      <c r="B11" s="298"/>
      <c r="C11" s="298"/>
      <c r="D11" s="298"/>
      <c r="E11" s="298"/>
      <c r="F11" s="306">
        <v>8.0000000000000002E-3</v>
      </c>
      <c r="G11" s="306">
        <v>5.5E-2</v>
      </c>
      <c r="H11" s="306">
        <v>-2.3E-2</v>
      </c>
      <c r="I11" s="307">
        <f>CHOOSE($C$5,I13,I14,I15)</f>
        <v>2.1000000000000001E-2</v>
      </c>
      <c r="J11" s="307">
        <f t="shared" ref="J11:N11" si="0">CHOOSE($C$5,J13,J14,J15)</f>
        <v>2.1000000000000001E-2</v>
      </c>
      <c r="K11" s="307">
        <f t="shared" si="0"/>
        <v>2.1000000000000001E-2</v>
      </c>
      <c r="L11" s="307">
        <f t="shared" si="0"/>
        <v>2.1000000000000001E-2</v>
      </c>
      <c r="M11" s="307">
        <f t="shared" si="0"/>
        <v>2.1000000000000001E-2</v>
      </c>
      <c r="N11" s="307">
        <f t="shared" si="0"/>
        <v>2.1000000000000001E-2</v>
      </c>
    </row>
    <row r="12" spans="1:14">
      <c r="A12" s="298" t="s">
        <v>267</v>
      </c>
      <c r="B12" s="298"/>
      <c r="C12" s="298"/>
      <c r="D12" s="298"/>
      <c r="E12" s="298"/>
      <c r="F12" s="308"/>
      <c r="G12" s="308"/>
      <c r="H12" s="308"/>
      <c r="I12" s="309"/>
      <c r="J12" s="310"/>
      <c r="K12" s="310"/>
      <c r="L12" s="310"/>
      <c r="M12" s="310"/>
      <c r="N12" s="310"/>
    </row>
    <row r="13" spans="1:14">
      <c r="A13" s="298"/>
      <c r="B13" s="298" t="s">
        <v>260</v>
      </c>
      <c r="C13" s="298"/>
      <c r="D13" s="298"/>
      <c r="E13" s="298"/>
      <c r="F13" s="306">
        <v>8.0000000000000002E-3</v>
      </c>
      <c r="G13" s="306">
        <v>5.5E-2</v>
      </c>
      <c r="H13" s="306">
        <v>-2.3E-2</v>
      </c>
      <c r="I13" s="309">
        <f>Assumptions!$B$14</f>
        <v>2.1000000000000001E-2</v>
      </c>
      <c r="J13" s="309">
        <f>Assumptions!$B$14</f>
        <v>2.1000000000000001E-2</v>
      </c>
      <c r="K13" s="309">
        <f>Assumptions!$B$14</f>
        <v>2.1000000000000001E-2</v>
      </c>
      <c r="L13" s="309">
        <f>Assumptions!$B$14</f>
        <v>2.1000000000000001E-2</v>
      </c>
      <c r="M13" s="309">
        <f>Assumptions!$C$14</f>
        <v>2.1000000000000001E-2</v>
      </c>
      <c r="N13" s="309">
        <f>Assumptions!$C$14</f>
        <v>2.1000000000000001E-2</v>
      </c>
    </row>
    <row r="14" spans="1:14">
      <c r="A14" s="298"/>
      <c r="B14" s="298" t="s">
        <v>261</v>
      </c>
      <c r="C14" s="298"/>
      <c r="D14" s="298"/>
      <c r="E14" s="298"/>
      <c r="F14" s="306">
        <v>8.0000000000000002E-3</v>
      </c>
      <c r="G14" s="306">
        <v>5.5E-2</v>
      </c>
      <c r="H14" s="306">
        <v>-2.3E-2</v>
      </c>
      <c r="I14" s="309">
        <f>Assumptions!$B$15</f>
        <v>0.03</v>
      </c>
      <c r="J14" s="309">
        <f>Assumptions!$B$15</f>
        <v>0.03</v>
      </c>
      <c r="K14" s="309">
        <f>Assumptions!$B$15</f>
        <v>0.03</v>
      </c>
      <c r="L14" s="309">
        <f>Assumptions!$B$15</f>
        <v>0.03</v>
      </c>
      <c r="M14" s="309">
        <f>Assumptions!$C$15</f>
        <v>2.5000000000000001E-2</v>
      </c>
      <c r="N14" s="309">
        <f>Assumptions!$C$15</f>
        <v>2.5000000000000001E-2</v>
      </c>
    </row>
    <row r="15" spans="1:14">
      <c r="A15" s="298"/>
      <c r="B15" s="298" t="s">
        <v>262</v>
      </c>
      <c r="C15" s="298"/>
      <c r="D15" s="298"/>
      <c r="E15" s="298"/>
      <c r="F15" s="306">
        <v>8.0000000000000002E-3</v>
      </c>
      <c r="G15" s="306">
        <v>5.5E-2</v>
      </c>
      <c r="H15" s="306">
        <v>-2.3E-2</v>
      </c>
      <c r="I15" s="309">
        <f>Assumptions!$C$16</f>
        <v>-5.0000000000000001E-3</v>
      </c>
      <c r="J15" s="309">
        <f>Assumptions!$C$16</f>
        <v>-5.0000000000000001E-3</v>
      </c>
      <c r="K15" s="309">
        <f>Assumptions!$C$16</f>
        <v>-5.0000000000000001E-3</v>
      </c>
      <c r="L15" s="309">
        <f>Assumptions!$C$16</f>
        <v>-5.0000000000000001E-3</v>
      </c>
      <c r="M15" s="309">
        <f>Assumptions!$C$16</f>
        <v>-5.0000000000000001E-3</v>
      </c>
      <c r="N15" s="309">
        <f>Assumptions!$C$16</f>
        <v>-5.0000000000000001E-3</v>
      </c>
    </row>
    <row r="16" spans="1:14">
      <c r="A16" s="298"/>
      <c r="B16" s="298"/>
      <c r="C16" s="298"/>
      <c r="D16" s="298"/>
      <c r="E16" s="298"/>
      <c r="F16" s="73"/>
      <c r="G16" s="73"/>
      <c r="H16" s="73"/>
      <c r="I16" s="311"/>
      <c r="J16" s="311"/>
      <c r="K16" s="311"/>
      <c r="L16" s="311"/>
      <c r="M16" s="311"/>
      <c r="N16" s="311"/>
    </row>
    <row r="17" spans="1:14">
      <c r="A17" s="298" t="s">
        <v>461</v>
      </c>
      <c r="B17" s="298"/>
      <c r="C17" s="298"/>
      <c r="D17" s="298"/>
      <c r="E17" s="298"/>
      <c r="F17" s="306">
        <f>'Financial Analysis'!O10</f>
        <v>-9.511460012616528E-2</v>
      </c>
      <c r="G17" s="306">
        <f>'Financial Analysis'!P10</f>
        <v>4.9419054996126472E-3</v>
      </c>
      <c r="H17" s="306">
        <f>'Financial Analysis'!Q10</f>
        <v>1.0821810109605486E-2</v>
      </c>
      <c r="I17" s="309">
        <f t="shared" ref="I17:N17" si="1">CHOOSE($C$5,I19,I20,I21)</f>
        <v>2.8955128115142115E-2</v>
      </c>
      <c r="J17" s="309">
        <f t="shared" si="1"/>
        <v>2.8955128115142115E-2</v>
      </c>
      <c r="K17" s="309">
        <f t="shared" si="1"/>
        <v>2.8955128115142115E-2</v>
      </c>
      <c r="L17" s="309">
        <f t="shared" si="1"/>
        <v>2.8955128115142115E-2</v>
      </c>
      <c r="M17" s="309">
        <f t="shared" si="1"/>
        <v>2.8955128115142115E-2</v>
      </c>
      <c r="N17" s="309">
        <f t="shared" si="1"/>
        <v>2.8955128115142115E-2</v>
      </c>
    </row>
    <row r="18" spans="1:14">
      <c r="A18" s="298" t="s">
        <v>267</v>
      </c>
      <c r="B18" s="298"/>
      <c r="C18" s="298"/>
      <c r="D18" s="298"/>
      <c r="E18" s="298"/>
      <c r="F18" s="312"/>
      <c r="G18" s="312"/>
      <c r="H18" s="312"/>
      <c r="I18" s="309"/>
      <c r="J18" s="309"/>
      <c r="K18" s="309"/>
      <c r="L18" s="309"/>
      <c r="M18" s="309"/>
      <c r="N18" s="309"/>
    </row>
    <row r="19" spans="1:14">
      <c r="A19" s="298"/>
      <c r="B19" s="298" t="s">
        <v>260</v>
      </c>
      <c r="C19" s="298"/>
      <c r="D19" s="298"/>
      <c r="E19" s="298"/>
      <c r="F19" s="312">
        <f t="shared" ref="F19:F21" si="2">F18</f>
        <v>0</v>
      </c>
      <c r="G19" s="312">
        <f t="shared" ref="G19:G21" si="3">G18</f>
        <v>0</v>
      </c>
      <c r="H19" s="312">
        <f t="shared" ref="H19:H21" si="4">H18</f>
        <v>0</v>
      </c>
      <c r="I19" s="309">
        <f>Assumptions!$B$19</f>
        <v>2.8955128115142115E-2</v>
      </c>
      <c r="J19" s="309">
        <f>Assumptions!$B$19</f>
        <v>2.8955128115142115E-2</v>
      </c>
      <c r="K19" s="309">
        <f>Assumptions!$B$19</f>
        <v>2.8955128115142115E-2</v>
      </c>
      <c r="L19" s="309">
        <f>Assumptions!$B$19</f>
        <v>2.8955128115142115E-2</v>
      </c>
      <c r="M19" s="309">
        <f>Assumptions!$B$19</f>
        <v>2.8955128115142115E-2</v>
      </c>
      <c r="N19" s="309">
        <f>Assumptions!C19</f>
        <v>2.8955128115142115E-2</v>
      </c>
    </row>
    <row r="20" spans="1:14">
      <c r="A20" s="298"/>
      <c r="B20" s="298" t="s">
        <v>261</v>
      </c>
      <c r="C20" s="298"/>
      <c r="D20" s="298"/>
      <c r="E20" s="298"/>
      <c r="F20" s="312">
        <f t="shared" si="2"/>
        <v>0</v>
      </c>
      <c r="G20" s="312">
        <f t="shared" si="3"/>
        <v>0</v>
      </c>
      <c r="H20" s="312">
        <f t="shared" si="4"/>
        <v>0</v>
      </c>
      <c r="I20" s="309">
        <f>Assumptions!$B$20</f>
        <v>3.9466270060336602E-2</v>
      </c>
      <c r="J20" s="309">
        <f>Assumptions!$B$20</f>
        <v>3.9466270060336602E-2</v>
      </c>
      <c r="K20" s="309">
        <f>Assumptions!$B$20</f>
        <v>3.9466270060336602E-2</v>
      </c>
      <c r="L20" s="309">
        <f>Assumptions!$B$20</f>
        <v>3.9466270060336602E-2</v>
      </c>
      <c r="M20" s="309">
        <f>Assumptions!$B$20</f>
        <v>3.9466270060336602E-2</v>
      </c>
      <c r="N20" s="309">
        <f>Assumptions!C20</f>
        <v>3.5000000000000003E-2</v>
      </c>
    </row>
    <row r="21" spans="1:14">
      <c r="A21" s="298"/>
      <c r="B21" s="298" t="s">
        <v>262</v>
      </c>
      <c r="C21" s="298"/>
      <c r="D21" s="298"/>
      <c r="E21" s="298"/>
      <c r="F21" s="312">
        <f t="shared" si="2"/>
        <v>0</v>
      </c>
      <c r="G21" s="312">
        <f t="shared" si="3"/>
        <v>0</v>
      </c>
      <c r="H21" s="312">
        <f t="shared" si="4"/>
        <v>0</v>
      </c>
      <c r="I21" s="310">
        <f>Assumptions!$B$21</f>
        <v>-0.01</v>
      </c>
      <c r="J21" s="310">
        <f>Assumptions!$B$21</f>
        <v>-0.01</v>
      </c>
      <c r="K21" s="310">
        <f>Assumptions!$B$21</f>
        <v>-0.01</v>
      </c>
      <c r="L21" s="310">
        <f>Assumptions!$B$21</f>
        <v>-0.01</v>
      </c>
      <c r="M21" s="310">
        <f>Assumptions!$B$21</f>
        <v>-0.01</v>
      </c>
      <c r="N21" s="309">
        <f>Assumptions!C21</f>
        <v>-5.0000000000000001E-3</v>
      </c>
    </row>
    <row r="22" spans="1:14">
      <c r="A22" s="298"/>
      <c r="B22" s="298"/>
      <c r="C22" s="298"/>
      <c r="D22" s="298"/>
      <c r="E22" s="298"/>
      <c r="F22" s="298"/>
      <c r="G22" s="298"/>
      <c r="H22" s="298"/>
      <c r="I22" s="301"/>
      <c r="J22" s="301"/>
      <c r="K22" s="301"/>
      <c r="L22" s="301"/>
      <c r="M22" s="301"/>
      <c r="N22" s="301"/>
    </row>
    <row r="23" spans="1:14">
      <c r="A23" s="302" t="s">
        <v>471</v>
      </c>
      <c r="B23" s="298"/>
      <c r="C23" s="298"/>
      <c r="D23" s="298"/>
      <c r="E23" s="298"/>
      <c r="F23" s="313">
        <v>-2</v>
      </c>
      <c r="G23" s="314">
        <v>0</v>
      </c>
      <c r="H23" s="315">
        <v>2</v>
      </c>
      <c r="I23" s="310">
        <f t="shared" ref="I23:N23" si="5">CHOOSE($C$5,I25,I26,I27)</f>
        <v>2</v>
      </c>
      <c r="J23" s="310">
        <f t="shared" si="5"/>
        <v>1</v>
      </c>
      <c r="K23" s="310">
        <f t="shared" si="5"/>
        <v>2</v>
      </c>
      <c r="L23" s="310">
        <f t="shared" si="5"/>
        <v>1</v>
      </c>
      <c r="M23" s="310">
        <f t="shared" si="5"/>
        <v>1</v>
      </c>
      <c r="N23" s="310">
        <f t="shared" si="5"/>
        <v>0</v>
      </c>
    </row>
    <row r="24" spans="1:14">
      <c r="A24" s="298"/>
      <c r="B24" s="298"/>
      <c r="C24" s="298"/>
      <c r="D24" s="298"/>
      <c r="E24" s="298"/>
      <c r="F24" s="316"/>
      <c r="G24" s="317"/>
      <c r="H24" s="316"/>
      <c r="I24" s="310"/>
      <c r="J24" s="310"/>
      <c r="K24" s="310"/>
      <c r="L24" s="310"/>
      <c r="M24" s="310"/>
      <c r="N24" s="310"/>
    </row>
    <row r="25" spans="1:14">
      <c r="A25" s="298"/>
      <c r="B25" s="298" t="s">
        <v>260</v>
      </c>
      <c r="C25" s="298"/>
      <c r="D25" s="298"/>
      <c r="E25" s="298"/>
      <c r="F25" s="313">
        <v>-2</v>
      </c>
      <c r="G25" s="314">
        <v>0</v>
      </c>
      <c r="H25" s="315">
        <v>2</v>
      </c>
      <c r="I25" s="310">
        <v>2</v>
      </c>
      <c r="J25" s="310">
        <v>1</v>
      </c>
      <c r="K25" s="310">
        <v>2</v>
      </c>
      <c r="L25" s="310">
        <v>1</v>
      </c>
      <c r="M25" s="310">
        <v>1</v>
      </c>
      <c r="N25" s="310">
        <v>0</v>
      </c>
    </row>
    <row r="26" spans="1:14">
      <c r="A26" s="298"/>
      <c r="B26" s="298" t="s">
        <v>261</v>
      </c>
      <c r="C26" s="298"/>
      <c r="D26" s="298"/>
      <c r="E26" s="298"/>
      <c r="F26" s="318">
        <f t="shared" ref="F26:H27" si="6">F25</f>
        <v>-2</v>
      </c>
      <c r="G26" s="314">
        <v>0</v>
      </c>
      <c r="H26" s="318">
        <f t="shared" si="6"/>
        <v>2</v>
      </c>
      <c r="I26" s="310">
        <v>3</v>
      </c>
      <c r="J26" s="310">
        <v>3</v>
      </c>
      <c r="K26" s="310">
        <v>4</v>
      </c>
      <c r="L26" s="310">
        <v>3</v>
      </c>
      <c r="M26" s="310">
        <v>3</v>
      </c>
      <c r="N26" s="310">
        <f>ROUND(N25*(1+[3]Assumptions!$E$21),0)</f>
        <v>0</v>
      </c>
    </row>
    <row r="27" spans="1:14">
      <c r="A27" s="298"/>
      <c r="B27" s="298" t="s">
        <v>262</v>
      </c>
      <c r="C27" s="298"/>
      <c r="D27" s="298"/>
      <c r="E27" s="298"/>
      <c r="F27" s="318">
        <f t="shared" si="6"/>
        <v>-2</v>
      </c>
      <c r="G27" s="314">
        <v>0</v>
      </c>
      <c r="H27" s="318">
        <f t="shared" si="6"/>
        <v>2</v>
      </c>
      <c r="I27" s="310">
        <v>-2</v>
      </c>
      <c r="J27" s="310">
        <v>-2</v>
      </c>
      <c r="K27" s="310">
        <v>-3</v>
      </c>
      <c r="L27" s="319">
        <v>-3</v>
      </c>
      <c r="M27" s="319">
        <v>-2</v>
      </c>
      <c r="N27" s="319">
        <f>N25*(1+[3]Assumptions!$E$22)</f>
        <v>0</v>
      </c>
    </row>
    <row r="28" spans="1:14">
      <c r="A28" s="298"/>
      <c r="B28" s="298"/>
      <c r="C28" s="298"/>
      <c r="D28" s="298"/>
      <c r="E28" s="298"/>
      <c r="F28" s="320"/>
      <c r="G28" s="321"/>
      <c r="H28" s="320"/>
      <c r="I28" s="300"/>
      <c r="J28" s="300"/>
      <c r="K28" s="300"/>
      <c r="L28" s="322"/>
      <c r="M28" s="322"/>
      <c r="N28" s="322"/>
    </row>
    <row r="29" spans="1:14">
      <c r="A29" s="302" t="s">
        <v>472</v>
      </c>
      <c r="B29" s="298"/>
      <c r="C29" s="298"/>
      <c r="D29" s="298"/>
      <c r="E29" s="298"/>
      <c r="F29" s="313">
        <v>-2</v>
      </c>
      <c r="G29" s="314">
        <v>0</v>
      </c>
      <c r="H29" s="315">
        <v>2</v>
      </c>
      <c r="I29" s="310">
        <f t="shared" ref="I29:N29" si="7">CHOOSE($C$5,I31,I32,I33)</f>
        <v>2</v>
      </c>
      <c r="J29" s="310">
        <f t="shared" si="7"/>
        <v>2</v>
      </c>
      <c r="K29" s="310">
        <f t="shared" si="7"/>
        <v>2</v>
      </c>
      <c r="L29" s="310">
        <f t="shared" si="7"/>
        <v>2</v>
      </c>
      <c r="M29" s="310">
        <f t="shared" si="7"/>
        <v>2</v>
      </c>
      <c r="N29" s="310">
        <f t="shared" si="7"/>
        <v>0</v>
      </c>
    </row>
    <row r="30" spans="1:14">
      <c r="A30" s="298"/>
      <c r="B30" s="298"/>
      <c r="C30" s="298"/>
      <c r="D30" s="298"/>
      <c r="E30" s="298"/>
      <c r="F30" s="316"/>
      <c r="G30" s="317"/>
      <c r="H30" s="316"/>
      <c r="I30" s="310"/>
      <c r="J30" s="310"/>
      <c r="K30" s="310"/>
      <c r="L30" s="310"/>
      <c r="M30" s="310"/>
      <c r="N30" s="310"/>
    </row>
    <row r="31" spans="1:14">
      <c r="A31" s="298"/>
      <c r="B31" s="298" t="s">
        <v>260</v>
      </c>
      <c r="C31" s="298"/>
      <c r="D31" s="298"/>
      <c r="E31" s="298"/>
      <c r="F31" s="313">
        <v>-2</v>
      </c>
      <c r="G31" s="314">
        <v>0</v>
      </c>
      <c r="H31" s="315">
        <v>2</v>
      </c>
      <c r="I31" s="310">
        <f>Assumptions!$B33</f>
        <v>2</v>
      </c>
      <c r="J31" s="310">
        <f>Assumptions!$B33</f>
        <v>2</v>
      </c>
      <c r="K31" s="310">
        <f>Assumptions!$B33</f>
        <v>2</v>
      </c>
      <c r="L31" s="310">
        <f>Assumptions!$B33</f>
        <v>2</v>
      </c>
      <c r="M31" s="310">
        <f>Assumptions!$B33</f>
        <v>2</v>
      </c>
      <c r="N31" s="310">
        <v>0</v>
      </c>
    </row>
    <row r="32" spans="1:14">
      <c r="A32" s="298"/>
      <c r="B32" s="298" t="s">
        <v>261</v>
      </c>
      <c r="C32" s="298"/>
      <c r="D32" s="298"/>
      <c r="E32" s="298"/>
      <c r="F32" s="318">
        <f t="shared" ref="F32" si="8">F31</f>
        <v>-2</v>
      </c>
      <c r="G32" s="314">
        <v>0</v>
      </c>
      <c r="H32" s="318">
        <f t="shared" ref="H32" si="9">H31</f>
        <v>2</v>
      </c>
      <c r="I32" s="310">
        <f>Assumptions!$B34</f>
        <v>4</v>
      </c>
      <c r="J32" s="310">
        <f>Assumptions!$B34</f>
        <v>4</v>
      </c>
      <c r="K32" s="310">
        <f>Assumptions!$B34</f>
        <v>4</v>
      </c>
      <c r="L32" s="310">
        <f>Assumptions!$B34</f>
        <v>4</v>
      </c>
      <c r="M32" s="310">
        <f>Assumptions!$B34</f>
        <v>4</v>
      </c>
      <c r="N32" s="310">
        <v>0</v>
      </c>
    </row>
    <row r="33" spans="1:16">
      <c r="A33" s="298"/>
      <c r="B33" s="298" t="s">
        <v>262</v>
      </c>
      <c r="C33" s="298"/>
      <c r="D33" s="298"/>
      <c r="E33" s="298"/>
      <c r="F33" s="318">
        <f t="shared" ref="F33" si="10">F32</f>
        <v>-2</v>
      </c>
      <c r="G33" s="314">
        <v>0</v>
      </c>
      <c r="H33" s="318">
        <f t="shared" ref="H33" si="11">H32</f>
        <v>2</v>
      </c>
      <c r="I33" s="310">
        <f>Assumptions!$B35</f>
        <v>-2</v>
      </c>
      <c r="J33" s="310">
        <f>Assumptions!$B35</f>
        <v>-2</v>
      </c>
      <c r="K33" s="310">
        <f>Assumptions!$B35</f>
        <v>-2</v>
      </c>
      <c r="L33" s="310">
        <f>Assumptions!$B35</f>
        <v>-2</v>
      </c>
      <c r="M33" s="310">
        <f>Assumptions!$B35</f>
        <v>-2</v>
      </c>
      <c r="N33" s="310">
        <v>0</v>
      </c>
    </row>
    <row r="34" spans="1:16">
      <c r="A34" s="298"/>
      <c r="B34" s="298"/>
      <c r="C34" s="298"/>
      <c r="D34" s="298"/>
      <c r="E34" s="298"/>
      <c r="F34" s="298"/>
      <c r="G34" s="298"/>
      <c r="H34" s="298"/>
      <c r="I34" s="298"/>
      <c r="J34" s="298"/>
      <c r="K34" s="298"/>
      <c r="L34" s="298"/>
      <c r="M34" s="298"/>
      <c r="N34" s="298"/>
    </row>
    <row r="35" spans="1:16">
      <c r="A35" s="298"/>
      <c r="B35" s="298"/>
      <c r="C35" s="298"/>
      <c r="D35" s="298"/>
      <c r="E35" s="298"/>
      <c r="F35" s="298"/>
      <c r="G35" s="298"/>
      <c r="H35" s="298"/>
      <c r="I35" s="1173" t="s">
        <v>265</v>
      </c>
      <c r="J35" s="1173"/>
      <c r="K35" s="1173"/>
      <c r="L35" s="1173"/>
      <c r="M35" s="1173"/>
      <c r="N35" s="1173"/>
    </row>
    <row r="36" spans="1:16">
      <c r="A36" s="298"/>
      <c r="B36" s="298"/>
      <c r="C36" s="298"/>
      <c r="D36" s="298"/>
      <c r="E36" s="298"/>
      <c r="F36" s="298"/>
      <c r="G36" s="298"/>
      <c r="H36" s="298"/>
      <c r="I36" s="300"/>
      <c r="J36" s="301"/>
      <c r="K36" s="301"/>
      <c r="L36" s="301"/>
      <c r="M36" s="301"/>
      <c r="N36" s="301"/>
    </row>
    <row r="37" spans="1:16">
      <c r="A37" s="302" t="s">
        <v>263</v>
      </c>
      <c r="B37" s="298"/>
      <c r="C37" s="298"/>
      <c r="D37" s="298"/>
      <c r="E37" s="298"/>
      <c r="F37" s="303">
        <v>2011</v>
      </c>
      <c r="G37" s="303">
        <v>2012</v>
      </c>
      <c r="H37" s="303">
        <v>2013</v>
      </c>
      <c r="I37" s="304" t="s">
        <v>268</v>
      </c>
      <c r="J37" s="304">
        <f>J9</f>
        <v>2015</v>
      </c>
      <c r="K37" s="304">
        <f>K9</f>
        <v>2016</v>
      </c>
      <c r="L37" s="304">
        <f>L9</f>
        <v>2017</v>
      </c>
      <c r="M37" s="304">
        <f>M9</f>
        <v>2018</v>
      </c>
      <c r="N37" s="304" t="str">
        <f>N9</f>
        <v>Term</v>
      </c>
    </row>
    <row r="38" spans="1:16">
      <c r="A38" s="298"/>
      <c r="B38" s="298"/>
      <c r="C38" s="298"/>
      <c r="D38" s="298"/>
      <c r="E38" s="323"/>
      <c r="F38" s="324" t="s">
        <v>388</v>
      </c>
      <c r="I38" s="325">
        <v>0.28000000000000003</v>
      </c>
      <c r="J38" s="325">
        <f>(1+dinfl)^(J37-2014)*aa</f>
        <v>0.28336000000000006</v>
      </c>
      <c r="K38" s="325">
        <f>(1+dinfl)^(K37-2014)*aa</f>
        <v>0.28676032000000001</v>
      </c>
      <c r="L38" s="325">
        <f>(1+dinfl)^(L37-2014)*aa</f>
        <v>0.29020144384000002</v>
      </c>
      <c r="M38" s="325">
        <f>(1+dinfl)^(M37-2014)*aa</f>
        <v>0.29368386116608003</v>
      </c>
      <c r="N38" s="325">
        <f>M38</f>
        <v>0.29368386116608003</v>
      </c>
    </row>
    <row r="39" spans="1:16">
      <c r="A39" s="298" t="s">
        <v>385</v>
      </c>
      <c r="B39" s="298">
        <v>0.28000000000000003</v>
      </c>
      <c r="C39" s="324" t="s">
        <v>446</v>
      </c>
      <c r="D39" s="298"/>
      <c r="E39" s="326"/>
      <c r="F39" s="327">
        <f>F40/F45</f>
        <v>0.17381242387332521</v>
      </c>
      <c r="G39" s="327">
        <f>G40/G45</f>
        <v>0.22276029055690072</v>
      </c>
      <c r="H39" s="327">
        <f>H40/H45</f>
        <v>0.2517618469015796</v>
      </c>
      <c r="I39" s="328">
        <v>0.28000000000000003</v>
      </c>
      <c r="J39" s="329">
        <v>0.25</v>
      </c>
      <c r="K39" s="329">
        <v>0.25</v>
      </c>
      <c r="L39" s="329">
        <v>0.25</v>
      </c>
      <c r="M39" s="328">
        <v>0.25</v>
      </c>
      <c r="N39" s="328">
        <v>0.21</v>
      </c>
    </row>
    <row r="40" spans="1:16">
      <c r="B40" s="298">
        <v>0.21</v>
      </c>
      <c r="C40" s="324" t="s">
        <v>446</v>
      </c>
      <c r="D40" s="298"/>
      <c r="E40" s="323"/>
      <c r="F40" s="330">
        <v>142.69999999999999</v>
      </c>
      <c r="G40" s="331">
        <v>184</v>
      </c>
      <c r="H40" s="331">
        <v>207.2</v>
      </c>
      <c r="I40" s="328">
        <f t="shared" ref="I40:N40" si="12">CHOOSE(case,I41,I42,I43)</f>
        <v>231.00000000000003</v>
      </c>
      <c r="J40" s="328">
        <f t="shared" si="12"/>
        <v>234.05536000000004</v>
      </c>
      <c r="K40" s="328">
        <f t="shared" si="12"/>
        <v>207</v>
      </c>
      <c r="L40" s="328">
        <f t="shared" si="12"/>
        <v>207.25</v>
      </c>
      <c r="M40" s="328">
        <f t="shared" si="12"/>
        <v>207.5</v>
      </c>
      <c r="N40" s="328">
        <f t="shared" si="12"/>
        <v>174.29999999999998</v>
      </c>
    </row>
    <row r="41" spans="1:16">
      <c r="A41" s="332"/>
      <c r="B41" s="298" t="s">
        <v>37</v>
      </c>
      <c r="C41" s="333"/>
      <c r="D41" s="334"/>
      <c r="E41" s="335"/>
      <c r="F41" s="330">
        <v>142.69999999999999</v>
      </c>
      <c r="G41" s="331">
        <v>184</v>
      </c>
      <c r="H41" s="331">
        <v>207.2</v>
      </c>
      <c r="I41" s="328">
        <f>I47*I$39</f>
        <v>231.00000000000003</v>
      </c>
      <c r="J41" s="328">
        <f>J47*J$38</f>
        <v>234.05536000000004</v>
      </c>
      <c r="K41" s="328">
        <f>K47*K$39</f>
        <v>207</v>
      </c>
      <c r="L41" s="328">
        <f>L47*L$39</f>
        <v>207.25</v>
      </c>
      <c r="M41" s="328">
        <f>M47*M$39</f>
        <v>207.5</v>
      </c>
      <c r="N41" s="328">
        <f>N47*N$39</f>
        <v>174.29999999999998</v>
      </c>
      <c r="P41" s="297">
        <f>800/H40</f>
        <v>3.8610038610038613</v>
      </c>
    </row>
    <row r="42" spans="1:16">
      <c r="A42" s="336"/>
      <c r="B42" s="298" t="s">
        <v>261</v>
      </c>
      <c r="C42" s="298"/>
      <c r="D42" s="337"/>
      <c r="E42" s="338"/>
      <c r="F42" s="330">
        <v>142.69999999999999</v>
      </c>
      <c r="G42" s="331">
        <v>184</v>
      </c>
      <c r="H42" s="331">
        <v>207.2</v>
      </c>
      <c r="I42" s="328">
        <f t="shared" ref="I42:M43" si="13">I48*$I$39</f>
        <v>231.28000000000003</v>
      </c>
      <c r="J42" s="328">
        <f t="shared" si="13"/>
        <v>232.12000000000003</v>
      </c>
      <c r="K42" s="328">
        <f t="shared" si="13"/>
        <v>233.24</v>
      </c>
      <c r="L42" s="328">
        <f t="shared" si="13"/>
        <v>234.08</v>
      </c>
      <c r="M42" s="328">
        <f t="shared" si="13"/>
        <v>234.92000000000002</v>
      </c>
      <c r="N42" s="328">
        <f>N48*$I$39</f>
        <v>234.92000000000002</v>
      </c>
      <c r="P42" s="297">
        <f>1/P41</f>
        <v>0.25900000000000001</v>
      </c>
    </row>
    <row r="43" spans="1:16">
      <c r="A43" s="336"/>
      <c r="B43" s="298" t="s">
        <v>262</v>
      </c>
      <c r="C43" s="298"/>
      <c r="D43" s="332"/>
      <c r="E43" s="332"/>
      <c r="F43" s="330">
        <v>142.69999999999999</v>
      </c>
      <c r="G43" s="331">
        <v>184</v>
      </c>
      <c r="H43" s="331">
        <v>207.2</v>
      </c>
      <c r="I43" s="328">
        <f t="shared" si="13"/>
        <v>229.88000000000002</v>
      </c>
      <c r="J43" s="328">
        <f t="shared" si="13"/>
        <v>229.32000000000002</v>
      </c>
      <c r="K43" s="328">
        <f t="shared" si="13"/>
        <v>228.48000000000002</v>
      </c>
      <c r="L43" s="328">
        <f t="shared" si="13"/>
        <v>227.64000000000001</v>
      </c>
      <c r="M43" s="328">
        <f t="shared" si="13"/>
        <v>227.08</v>
      </c>
      <c r="N43" s="328">
        <f>N49*$I$39</f>
        <v>227.08</v>
      </c>
    </row>
    <row r="44" spans="1:16">
      <c r="A44" s="336"/>
      <c r="B44" s="336"/>
      <c r="C44" s="298"/>
      <c r="D44" s="336"/>
      <c r="E44" s="336"/>
      <c r="F44" s="339"/>
      <c r="G44" s="340"/>
      <c r="H44" s="340"/>
      <c r="I44" s="341"/>
      <c r="J44" s="341"/>
      <c r="K44" s="341"/>
      <c r="L44" s="341"/>
      <c r="M44" s="322"/>
      <c r="N44" s="322"/>
    </row>
    <row r="45" spans="1:16">
      <c r="A45" s="332" t="s">
        <v>269</v>
      </c>
      <c r="B45" s="338"/>
      <c r="C45" s="298"/>
      <c r="D45" s="339"/>
      <c r="E45" s="339"/>
      <c r="F45" s="342">
        <v>821</v>
      </c>
      <c r="G45" s="342">
        <v>826</v>
      </c>
      <c r="H45" s="342">
        <v>823</v>
      </c>
      <c r="I45" s="343">
        <f t="shared" ref="I45:N45" si="14">CHOOSE($C$5,I47,I48,I49)</f>
        <v>825</v>
      </c>
      <c r="J45" s="343">
        <f t="shared" si="14"/>
        <v>826</v>
      </c>
      <c r="K45" s="343">
        <f t="shared" si="14"/>
        <v>828</v>
      </c>
      <c r="L45" s="343">
        <f t="shared" si="14"/>
        <v>829</v>
      </c>
      <c r="M45" s="343">
        <f t="shared" si="14"/>
        <v>830</v>
      </c>
      <c r="N45" s="343">
        <f t="shared" si="14"/>
        <v>830</v>
      </c>
    </row>
    <row r="46" spans="1:16">
      <c r="A46" s="332"/>
      <c r="B46" s="338"/>
      <c r="C46" s="298"/>
      <c r="D46" s="339"/>
      <c r="E46" s="339"/>
      <c r="F46" s="342"/>
      <c r="G46" s="342"/>
      <c r="H46" s="342"/>
      <c r="I46" s="343"/>
      <c r="J46" s="343"/>
      <c r="K46" s="343"/>
      <c r="L46" s="343"/>
      <c r="M46" s="319"/>
      <c r="N46" s="319"/>
      <c r="O46" s="297">
        <f>infl</f>
        <v>9.2829999999999996E-3</v>
      </c>
    </row>
    <row r="47" spans="1:16">
      <c r="A47" s="338"/>
      <c r="B47" s="298" t="s">
        <v>260</v>
      </c>
      <c r="C47" s="338"/>
      <c r="D47" s="338"/>
      <c r="E47" s="338"/>
      <c r="F47" s="342">
        <v>821</v>
      </c>
      <c r="G47" s="342">
        <v>826</v>
      </c>
      <c r="H47" s="342">
        <v>823</v>
      </c>
      <c r="I47" s="344">
        <f t="shared" ref="I47:N47" si="15">H47+I25</f>
        <v>825</v>
      </c>
      <c r="J47" s="344">
        <f t="shared" si="15"/>
        <v>826</v>
      </c>
      <c r="K47" s="344">
        <f t="shared" si="15"/>
        <v>828</v>
      </c>
      <c r="L47" s="344">
        <f t="shared" si="15"/>
        <v>829</v>
      </c>
      <c r="M47" s="344">
        <f t="shared" si="15"/>
        <v>830</v>
      </c>
      <c r="N47" s="344">
        <f t="shared" si="15"/>
        <v>830</v>
      </c>
    </row>
    <row r="48" spans="1:16">
      <c r="A48" s="338"/>
      <c r="B48" s="298" t="s">
        <v>261</v>
      </c>
      <c r="C48" s="339"/>
      <c r="D48" s="338"/>
      <c r="E48" s="338"/>
      <c r="F48" s="342">
        <v>821</v>
      </c>
      <c r="G48" s="342">
        <v>826</v>
      </c>
      <c r="H48" s="342">
        <v>823</v>
      </c>
      <c r="I48" s="344">
        <f t="shared" ref="I48:N49" si="16">H48+I26</f>
        <v>826</v>
      </c>
      <c r="J48" s="344">
        <f t="shared" si="16"/>
        <v>829</v>
      </c>
      <c r="K48" s="344">
        <f t="shared" si="16"/>
        <v>833</v>
      </c>
      <c r="L48" s="344">
        <f t="shared" si="16"/>
        <v>836</v>
      </c>
      <c r="M48" s="344">
        <f t="shared" si="16"/>
        <v>839</v>
      </c>
      <c r="N48" s="344">
        <f t="shared" si="16"/>
        <v>839</v>
      </c>
    </row>
    <row r="49" spans="1:15">
      <c r="B49" s="298" t="s">
        <v>262</v>
      </c>
      <c r="C49" s="339"/>
      <c r="D49" s="338"/>
      <c r="E49" s="338"/>
      <c r="F49" s="342">
        <v>821</v>
      </c>
      <c r="G49" s="342">
        <v>826</v>
      </c>
      <c r="H49" s="342">
        <v>823</v>
      </c>
      <c r="I49" s="344">
        <f t="shared" si="16"/>
        <v>821</v>
      </c>
      <c r="J49" s="344">
        <f t="shared" si="16"/>
        <v>819</v>
      </c>
      <c r="K49" s="344">
        <f t="shared" si="16"/>
        <v>816</v>
      </c>
      <c r="L49" s="344">
        <f t="shared" si="16"/>
        <v>813</v>
      </c>
      <c r="M49" s="344">
        <f t="shared" si="16"/>
        <v>811</v>
      </c>
      <c r="N49" s="344">
        <f t="shared" si="16"/>
        <v>811</v>
      </c>
    </row>
    <row r="50" spans="1:15">
      <c r="B50" s="298"/>
      <c r="C50" s="339"/>
      <c r="D50" s="338"/>
      <c r="E50" s="338"/>
      <c r="F50" s="345"/>
      <c r="G50" s="345"/>
      <c r="H50" s="345"/>
      <c r="I50" s="346"/>
      <c r="J50" s="346"/>
      <c r="K50" s="346"/>
      <c r="L50" s="346"/>
      <c r="M50" s="346"/>
      <c r="N50" s="346"/>
    </row>
    <row r="51" spans="1:15">
      <c r="C51" s="339"/>
      <c r="D51" s="338"/>
      <c r="E51" s="338"/>
    </row>
    <row r="52" spans="1:15">
      <c r="A52" s="380"/>
      <c r="B52" s="381"/>
      <c r="C52" s="381"/>
      <c r="D52" s="382"/>
      <c r="E52" s="383"/>
      <c r="F52" s="298"/>
      <c r="G52" s="298"/>
      <c r="H52" s="298"/>
      <c r="I52" s="298"/>
      <c r="J52" s="298"/>
      <c r="K52" s="298"/>
      <c r="L52" s="298"/>
      <c r="M52" s="298"/>
      <c r="N52" s="298"/>
      <c r="O52" s="298"/>
    </row>
    <row r="53" spans="1:15">
      <c r="A53" s="384" t="s">
        <v>275</v>
      </c>
      <c r="B53" s="385"/>
      <c r="C53" s="386">
        <v>1</v>
      </c>
      <c r="D53" s="393">
        <v>1</v>
      </c>
      <c r="E53" s="388"/>
      <c r="F53" s="298"/>
      <c r="G53" s="298"/>
      <c r="H53" s="298"/>
      <c r="I53" s="298"/>
      <c r="J53" s="298"/>
      <c r="K53" s="298"/>
      <c r="L53" s="298"/>
      <c r="M53" s="298"/>
      <c r="N53" s="298"/>
      <c r="O53" s="298"/>
    </row>
    <row r="54" spans="1:15">
      <c r="A54" s="389"/>
      <c r="B54" s="390"/>
      <c r="C54" s="390"/>
      <c r="D54" s="391"/>
      <c r="E54" s="392"/>
      <c r="F54" s="298"/>
      <c r="G54" s="298"/>
      <c r="H54" s="298"/>
      <c r="I54" s="298"/>
      <c r="J54" s="298"/>
      <c r="K54" s="298"/>
      <c r="L54" s="298"/>
      <c r="M54" s="298"/>
      <c r="N54" s="298"/>
    </row>
    <row r="55" spans="1:15">
      <c r="A55" s="298"/>
      <c r="B55" s="298"/>
      <c r="C55" s="298"/>
      <c r="D55" s="298"/>
      <c r="E55" s="298"/>
      <c r="F55" s="298"/>
      <c r="G55" s="298"/>
      <c r="H55" s="298"/>
      <c r="I55" s="347" t="s">
        <v>265</v>
      </c>
      <c r="J55" s="348"/>
      <c r="K55" s="348"/>
      <c r="L55" s="348"/>
      <c r="M55" s="348"/>
      <c r="N55" s="348"/>
    </row>
    <row r="56" spans="1:15">
      <c r="A56" s="298"/>
      <c r="B56" s="298"/>
      <c r="C56" s="298"/>
      <c r="D56" s="298"/>
      <c r="E56" s="298"/>
      <c r="F56" s="298"/>
      <c r="G56" s="298"/>
      <c r="H56" s="298"/>
      <c r="I56" s="300"/>
      <c r="J56" s="301"/>
      <c r="K56" s="301"/>
      <c r="L56" s="301"/>
      <c r="M56" s="301"/>
      <c r="N56" s="301"/>
    </row>
    <row r="57" spans="1:15">
      <c r="A57" s="302" t="s">
        <v>270</v>
      </c>
      <c r="B57" s="298"/>
      <c r="C57" s="298"/>
      <c r="D57" s="298"/>
      <c r="E57" s="298"/>
      <c r="F57" s="303">
        <v>2011</v>
      </c>
      <c r="G57" s="303">
        <v>2012</v>
      </c>
      <c r="H57" s="303">
        <v>2013</v>
      </c>
      <c r="I57" s="304">
        <v>2014</v>
      </c>
      <c r="J57" s="304">
        <v>2015</v>
      </c>
      <c r="K57" s="304">
        <v>2016</v>
      </c>
      <c r="L57" s="304">
        <v>2017</v>
      </c>
      <c r="M57" s="304">
        <v>2018</v>
      </c>
      <c r="N57" s="304" t="s">
        <v>276</v>
      </c>
    </row>
    <row r="58" spans="1:15">
      <c r="A58" s="298"/>
      <c r="B58" s="298"/>
      <c r="C58" s="298"/>
      <c r="D58" s="298"/>
      <c r="E58" s="298"/>
      <c r="F58" s="298"/>
      <c r="G58" s="298"/>
      <c r="H58" s="298"/>
      <c r="I58" s="301"/>
      <c r="J58" s="301"/>
      <c r="K58" s="301"/>
      <c r="L58" s="301"/>
      <c r="M58" s="301"/>
      <c r="N58" s="301"/>
    </row>
    <row r="59" spans="1:15">
      <c r="A59" s="298" t="s">
        <v>271</v>
      </c>
      <c r="B59" s="298"/>
      <c r="C59" s="298"/>
      <c r="D59" s="298"/>
      <c r="E59" s="298"/>
      <c r="F59" s="349">
        <v>0.81899547225439617</v>
      </c>
      <c r="G59" s="349">
        <v>0.81250374735543773</v>
      </c>
      <c r="H59" s="349">
        <v>0.81006419475918201</v>
      </c>
      <c r="I59" s="350">
        <f t="shared" ref="I59:N59" si="17">CHOOSE($C$53,I61,I62,I63)</f>
        <v>0.81</v>
      </c>
      <c r="J59" s="350">
        <f t="shared" si="17"/>
        <v>0.81</v>
      </c>
      <c r="K59" s="350">
        <f t="shared" si="17"/>
        <v>0.81</v>
      </c>
      <c r="L59" s="350">
        <f t="shared" si="17"/>
        <v>0.81</v>
      </c>
      <c r="M59" s="350">
        <f t="shared" si="17"/>
        <v>0.81</v>
      </c>
      <c r="N59" s="350">
        <f t="shared" si="17"/>
        <v>0.81</v>
      </c>
    </row>
    <row r="60" spans="1:15">
      <c r="A60" s="298"/>
      <c r="B60" s="298"/>
      <c r="C60" s="298"/>
      <c r="D60" s="298"/>
      <c r="E60" s="298"/>
      <c r="F60" s="351"/>
      <c r="G60" s="352"/>
      <c r="H60" s="352"/>
      <c r="I60" s="350"/>
      <c r="J60" s="310"/>
      <c r="K60" s="310"/>
      <c r="L60" s="310"/>
      <c r="M60" s="310"/>
      <c r="N60" s="310"/>
    </row>
    <row r="61" spans="1:15">
      <c r="A61" s="298"/>
      <c r="B61" s="298" t="s">
        <v>272</v>
      </c>
      <c r="C61" s="298"/>
      <c r="D61" s="298"/>
      <c r="E61" s="298"/>
      <c r="F61" s="349">
        <v>0.81899547225439617</v>
      </c>
      <c r="G61" s="349">
        <v>0.81250374735543773</v>
      </c>
      <c r="H61" s="349">
        <v>0.81006419475918201</v>
      </c>
      <c r="I61" s="350">
        <v>0.81</v>
      </c>
      <c r="J61" s="350">
        <v>0.81</v>
      </c>
      <c r="K61" s="350">
        <v>0.81</v>
      </c>
      <c r="L61" s="350">
        <v>0.81</v>
      </c>
      <c r="M61" s="350">
        <v>0.81</v>
      </c>
      <c r="N61" s="350">
        <f>M61</f>
        <v>0.81</v>
      </c>
    </row>
    <row r="62" spans="1:15">
      <c r="A62" s="298"/>
      <c r="B62" s="298" t="s">
        <v>273</v>
      </c>
      <c r="C62" s="298"/>
      <c r="D62" s="298"/>
      <c r="E62" s="298"/>
      <c r="F62" s="349">
        <v>0.81899547225439617</v>
      </c>
      <c r="G62" s="349">
        <v>0.81250374735543773</v>
      </c>
      <c r="H62" s="349">
        <v>0.81006419475918201</v>
      </c>
      <c r="I62" s="350">
        <v>0.73</v>
      </c>
      <c r="J62" s="350">
        <v>0.73</v>
      </c>
      <c r="K62" s="350">
        <v>0.72</v>
      </c>
      <c r="L62" s="350">
        <v>0.72</v>
      </c>
      <c r="M62" s="350">
        <v>0.72</v>
      </c>
      <c r="N62" s="350">
        <v>0.71</v>
      </c>
    </row>
    <row r="63" spans="1:15">
      <c r="A63" s="298"/>
      <c r="B63" s="298" t="s">
        <v>274</v>
      </c>
      <c r="C63" s="298"/>
      <c r="D63" s="298"/>
      <c r="E63" s="298"/>
      <c r="F63" s="349">
        <v>0.81899547225439617</v>
      </c>
      <c r="G63" s="349">
        <v>0.81250374735543773</v>
      </c>
      <c r="H63" s="349">
        <v>0.81006419475918201</v>
      </c>
      <c r="I63" s="350">
        <v>0.83</v>
      </c>
      <c r="J63" s="350">
        <v>0.83</v>
      </c>
      <c r="K63" s="350">
        <v>0.83499999999999996</v>
      </c>
      <c r="L63" s="350">
        <v>0.83499999999999996</v>
      </c>
      <c r="M63" s="350">
        <v>0.83499999999999996</v>
      </c>
      <c r="N63" s="350">
        <v>0.83499999999999996</v>
      </c>
    </row>
    <row r="64" spans="1:15">
      <c r="A64" s="298"/>
      <c r="B64" s="298"/>
      <c r="C64" s="298"/>
      <c r="D64" s="298"/>
      <c r="E64" s="298"/>
      <c r="F64" s="353"/>
      <c r="G64" s="354"/>
      <c r="H64" s="354"/>
      <c r="I64" s="355"/>
      <c r="J64" s="355"/>
      <c r="K64" s="355"/>
      <c r="L64" s="355"/>
      <c r="M64" s="355"/>
      <c r="N64" s="355"/>
    </row>
    <row r="65" spans="1:14">
      <c r="A65" s="298" t="s">
        <v>445</v>
      </c>
      <c r="B65" s="298"/>
      <c r="C65" s="298"/>
      <c r="D65" s="298"/>
      <c r="E65" s="298"/>
      <c r="F65" s="356">
        <f>'Financial Analysis'!$F33/'Financial Analysis'!$F12</f>
        <v>0.11568565511916044</v>
      </c>
      <c r="G65" s="356">
        <f>'Financial Analysis'!G33/'Financial Analysis'!G12</f>
        <v>0.11701170887973344</v>
      </c>
      <c r="H65" s="356">
        <f>'Financial Analysis'!H33/'Financial Analysis'!H12</f>
        <v>0.1179184060055425</v>
      </c>
      <c r="I65" s="350">
        <f>CHOOSE($C$53,I67,I68,I69)</f>
        <v>0.11749999999999999</v>
      </c>
      <c r="J65" s="350">
        <f t="shared" ref="J65:N65" si="18">CHOOSE($C$53,J67,J68,J69)</f>
        <v>0.11749999999999999</v>
      </c>
      <c r="K65" s="350">
        <f t="shared" si="18"/>
        <v>0.11749999999999999</v>
      </c>
      <c r="L65" s="350">
        <f t="shared" si="18"/>
        <v>0.11749999999999999</v>
      </c>
      <c r="M65" s="350">
        <f t="shared" si="18"/>
        <v>0.11749999999999999</v>
      </c>
      <c r="N65" s="350">
        <f t="shared" si="18"/>
        <v>0.11749999999999999</v>
      </c>
    </row>
    <row r="66" spans="1:14">
      <c r="A66" s="298"/>
      <c r="B66" s="298"/>
      <c r="C66" s="298"/>
      <c r="D66" s="298"/>
      <c r="E66" s="298"/>
      <c r="F66" s="351"/>
      <c r="G66" s="352"/>
      <c r="H66" s="352"/>
      <c r="I66" s="350"/>
      <c r="J66" s="310"/>
      <c r="K66" s="310"/>
      <c r="L66" s="310"/>
      <c r="M66" s="310"/>
      <c r="N66" s="310"/>
    </row>
    <row r="67" spans="1:14">
      <c r="A67" s="298"/>
      <c r="B67" s="298" t="s">
        <v>272</v>
      </c>
      <c r="C67" s="298"/>
      <c r="D67" s="298"/>
      <c r="E67" s="298"/>
      <c r="F67" s="356">
        <v>0.11600000000000001</v>
      </c>
      <c r="G67" s="357">
        <v>0.11700000000000001</v>
      </c>
      <c r="H67" s="357">
        <v>0.11799999999999999</v>
      </c>
      <c r="I67" s="358">
        <v>0.11749999999999999</v>
      </c>
      <c r="J67" s="359">
        <v>0.11749999999999999</v>
      </c>
      <c r="K67" s="360">
        <v>0.11749999999999999</v>
      </c>
      <c r="L67" s="361">
        <v>0.11749999999999999</v>
      </c>
      <c r="M67" s="362">
        <v>0.11749999999999999</v>
      </c>
      <c r="N67" s="362">
        <v>0.11749999999999999</v>
      </c>
    </row>
    <row r="68" spans="1:14">
      <c r="A68" s="298"/>
      <c r="B68" s="298" t="s">
        <v>273</v>
      </c>
      <c r="C68" s="298"/>
      <c r="D68" s="298"/>
      <c r="E68" s="298"/>
      <c r="F68" s="356">
        <v>0.11600000000000001</v>
      </c>
      <c r="G68" s="357">
        <v>0.11700000000000001</v>
      </c>
      <c r="H68" s="357">
        <v>0.11799999999999999</v>
      </c>
      <c r="I68" s="363">
        <v>0.14749999999999999</v>
      </c>
      <c r="J68" s="364">
        <v>0.14749999999999999</v>
      </c>
      <c r="K68" s="365">
        <v>0.15</v>
      </c>
      <c r="L68" s="364">
        <v>0.15</v>
      </c>
      <c r="M68" s="366">
        <v>0.15</v>
      </c>
      <c r="N68" s="366">
        <v>0.15</v>
      </c>
    </row>
    <row r="69" spans="1:14">
      <c r="A69" s="298"/>
      <c r="B69" s="298" t="s">
        <v>274</v>
      </c>
      <c r="C69" s="298"/>
      <c r="D69" s="298"/>
      <c r="E69" s="298"/>
      <c r="F69" s="356">
        <v>0.11600000000000001</v>
      </c>
      <c r="G69" s="357">
        <v>0.11700000000000001</v>
      </c>
      <c r="H69" s="357">
        <v>0.11799999999999999</v>
      </c>
      <c r="I69" s="367">
        <v>0.1275</v>
      </c>
      <c r="J69" s="368">
        <v>0.1275</v>
      </c>
      <c r="K69" s="369">
        <v>0.1275</v>
      </c>
      <c r="L69" s="370">
        <v>0.1275</v>
      </c>
      <c r="M69" s="371">
        <v>0.1275</v>
      </c>
      <c r="N69" s="372">
        <v>0.1275</v>
      </c>
    </row>
  </sheetData>
  <mergeCells count="4">
    <mergeCell ref="A1:N1"/>
    <mergeCell ref="A2:N2"/>
    <mergeCell ref="I7:N7"/>
    <mergeCell ref="I35:N35"/>
  </mergeCells>
  <phoneticPr fontId="52" type="noConversion"/>
  <dataValidations disablePrompts="1" count="1">
    <dataValidation type="list" allowBlank="1" showInputMessage="1" showErrorMessage="1" sqref="A42:A44 B44" xr:uid="{00000000-0002-0000-0400-000000000000}">
      <formula1>$P$44:$P$49</formula1>
    </dataValidation>
  </dataValidations>
  <pageMargins left="0.7" right="0.7" top="0.75" bottom="0.75" header="0.3" footer="0.3"/>
  <pageSetup paperSize="9" orientation="portrait" verticalDpi="0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3" name="Drop Down 1">
              <controlPr defaultSize="0" autoLine="0" autoPict="0">
                <anchor moveWithCells="1">
                  <from>
                    <xdr:col>3</xdr:col>
                    <xdr:colOff>0</xdr:colOff>
                    <xdr:row>3</xdr:row>
                    <xdr:rowOff>139700</xdr:rowOff>
                  </from>
                  <to>
                    <xdr:col>4</xdr:col>
                    <xdr:colOff>584200</xdr:colOff>
                    <xdr:row>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4" name="Drop Down 2">
              <controlPr defaultSize="0" autoLine="0" autoPict="0">
                <anchor moveWithCells="1">
                  <from>
                    <xdr:col>3</xdr:col>
                    <xdr:colOff>0</xdr:colOff>
                    <xdr:row>51</xdr:row>
                    <xdr:rowOff>139700</xdr:rowOff>
                  </from>
                  <to>
                    <xdr:col>4</xdr:col>
                    <xdr:colOff>571500</xdr:colOff>
                    <xdr:row>53</xdr:row>
                    <xdr:rowOff>25400</xdr:rowOff>
                  </to>
                </anchor>
              </controlPr>
            </control>
          </mc:Choice>
        </mc:AlternateContent>
      </controls>
    </mc:Choice>
  </mc:AlternateContent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X439"/>
  <sheetViews>
    <sheetView topLeftCell="B102" workbookViewId="0">
      <selection activeCell="E125" sqref="E125"/>
    </sheetView>
  </sheetViews>
  <sheetFormatPr baseColWidth="10" defaultColWidth="8.83203125" defaultRowHeight="13"/>
  <cols>
    <col min="1" max="1" width="3.33203125" style="3" customWidth="1"/>
    <col min="2" max="2" width="3" style="3" customWidth="1"/>
    <col min="3" max="3" width="1.83203125" style="3" customWidth="1"/>
    <col min="4" max="4" width="35.5" style="3" customWidth="1"/>
    <col min="5" max="5" width="15.1640625" style="3" customWidth="1"/>
    <col min="6" max="6" width="12.1640625" style="3" customWidth="1"/>
    <col min="7" max="7" width="19.6640625" style="3" customWidth="1"/>
    <col min="8" max="8" width="15.83203125" style="3" customWidth="1"/>
    <col min="9" max="9" width="18.33203125" style="3" customWidth="1"/>
    <col min="10" max="10" width="17.1640625" style="3" customWidth="1"/>
    <col min="11" max="11" width="9.6640625" style="3" customWidth="1"/>
    <col min="12" max="12" width="10.1640625" style="3" customWidth="1"/>
    <col min="13" max="13" width="10.6640625" style="3" customWidth="1"/>
    <col min="14" max="14" width="10.83203125" style="3" customWidth="1"/>
    <col min="15" max="15" width="22.6640625" style="3" customWidth="1"/>
    <col min="16" max="16" width="19.5" style="3" customWidth="1"/>
    <col min="17" max="17" width="8.6640625" style="12" customWidth="1"/>
    <col min="18" max="18" width="10.33203125" style="3" customWidth="1"/>
    <col min="19" max="19" width="14" style="3" bestFit="1" customWidth="1"/>
    <col min="20" max="16384" width="8.83203125" style="3"/>
  </cols>
  <sheetData>
    <row r="1" spans="3:21">
      <c r="L1" s="4"/>
      <c r="M1" s="5"/>
      <c r="N1" s="5"/>
      <c r="O1" s="6"/>
      <c r="P1" s="5"/>
      <c r="Q1" s="3"/>
    </row>
    <row r="2" spans="3:21" ht="8" customHeight="1">
      <c r="D2" s="281"/>
      <c r="E2" s="281"/>
      <c r="F2" s="281"/>
      <c r="G2" s="281"/>
      <c r="H2" s="281"/>
      <c r="I2" s="281"/>
      <c r="J2" s="281"/>
      <c r="K2" s="281"/>
      <c r="L2" s="281"/>
      <c r="M2" s="281"/>
      <c r="N2" s="281"/>
      <c r="O2" s="281"/>
      <c r="P2" s="281"/>
      <c r="Q2" s="281"/>
    </row>
    <row r="3" spans="3:21" ht="18" customHeight="1">
      <c r="D3" s="282" t="str">
        <f>'[4]Cover Page'!B14</f>
        <v>Metro. Inc</v>
      </c>
      <c r="E3" s="282"/>
      <c r="F3" s="282"/>
      <c r="G3" s="282"/>
      <c r="H3" s="282"/>
      <c r="I3" s="282"/>
      <c r="J3" s="282"/>
      <c r="K3" s="282"/>
      <c r="L3" s="282"/>
      <c r="M3" s="282"/>
      <c r="N3" s="282"/>
      <c r="O3" s="282"/>
      <c r="P3" s="282"/>
      <c r="Q3" s="282"/>
    </row>
    <row r="4" spans="3:21" ht="17" customHeight="1" thickBot="1">
      <c r="D4" s="283" t="s">
        <v>348</v>
      </c>
      <c r="E4" s="283"/>
      <c r="F4" s="283"/>
      <c r="G4" s="283"/>
      <c r="H4" s="283"/>
      <c r="I4" s="284"/>
      <c r="J4" s="284"/>
      <c r="K4" s="284"/>
      <c r="L4" s="284"/>
      <c r="M4" s="284"/>
      <c r="N4" s="284"/>
      <c r="O4" s="284"/>
      <c r="P4" s="284"/>
      <c r="Q4" s="284"/>
    </row>
    <row r="5" spans="3:21">
      <c r="Q5" s="3"/>
    </row>
    <row r="6" spans="3:21">
      <c r="L6" s="8"/>
      <c r="M6" s="8"/>
      <c r="N6" s="9" t="s">
        <v>265</v>
      </c>
      <c r="O6" s="10"/>
      <c r="P6" s="10"/>
      <c r="Q6" s="11"/>
    </row>
    <row r="7" spans="3:21" ht="5" customHeight="1">
      <c r="N7" s="12"/>
      <c r="O7" s="12"/>
      <c r="P7" s="13"/>
      <c r="Q7" s="14"/>
    </row>
    <row r="8" spans="3:21">
      <c r="F8" s="15" t="s">
        <v>314</v>
      </c>
      <c r="G8" s="15" t="s">
        <v>313</v>
      </c>
      <c r="H8" s="15" t="s">
        <v>312</v>
      </c>
      <c r="I8" s="16" t="s">
        <v>65</v>
      </c>
      <c r="J8" s="16" t="s">
        <v>64</v>
      </c>
      <c r="K8" s="16" t="s">
        <v>63</v>
      </c>
      <c r="L8" s="16" t="s">
        <v>268</v>
      </c>
      <c r="M8" s="16" t="s">
        <v>301</v>
      </c>
      <c r="N8" s="16" t="s">
        <v>300</v>
      </c>
      <c r="O8" s="16" t="s">
        <v>299</v>
      </c>
      <c r="P8" s="16" t="s">
        <v>298</v>
      </c>
      <c r="Q8" s="17" t="s">
        <v>276</v>
      </c>
    </row>
    <row r="9" spans="3:21" ht="12.75" customHeight="1">
      <c r="C9" s="18" t="s">
        <v>366</v>
      </c>
      <c r="E9" s="19"/>
      <c r="F9" s="19"/>
      <c r="G9" s="19"/>
      <c r="H9" s="19"/>
      <c r="I9" s="16"/>
      <c r="J9" s="16"/>
      <c r="K9" s="16"/>
      <c r="L9" s="16"/>
      <c r="M9" s="16"/>
      <c r="N9" s="16"/>
      <c r="O9" s="16"/>
      <c r="P9" s="16"/>
      <c r="Q9" s="20"/>
    </row>
    <row r="10" spans="3:21" ht="12.75" customHeight="1">
      <c r="C10" s="18"/>
      <c r="D10" s="21" t="s">
        <v>30</v>
      </c>
      <c r="E10" s="19" t="s">
        <v>310</v>
      </c>
      <c r="F10" s="19">
        <v>558</v>
      </c>
      <c r="G10" s="19">
        <v>559</v>
      </c>
      <c r="H10" s="19">
        <v>566</v>
      </c>
      <c r="I10" s="22">
        <v>564</v>
      </c>
      <c r="J10" s="22">
        <v>564</v>
      </c>
      <c r="K10" s="22">
        <v>566</v>
      </c>
      <c r="L10" s="22">
        <f>K10+Scenarios!I23</f>
        <v>568</v>
      </c>
      <c r="M10" s="22">
        <f>L10+Scenarios!J23</f>
        <v>569</v>
      </c>
      <c r="N10" s="22">
        <f>M10+Scenarios!K23</f>
        <v>571</v>
      </c>
      <c r="O10" s="22">
        <f>N10+Scenarios!L23</f>
        <v>572</v>
      </c>
      <c r="P10" s="22">
        <f>O10+Scenarios!M23</f>
        <v>573</v>
      </c>
      <c r="Q10" s="23">
        <f>P10+Scenarios!N25</f>
        <v>573</v>
      </c>
    </row>
    <row r="11" spans="3:21" s="12" customFormat="1">
      <c r="D11" s="21" t="s">
        <v>470</v>
      </c>
      <c r="E11" s="19"/>
      <c r="F11" s="19"/>
      <c r="G11" s="19">
        <f>G10-F10</f>
        <v>1</v>
      </c>
      <c r="H11" s="19">
        <f>H10-G10</f>
        <v>7</v>
      </c>
      <c r="I11" s="19">
        <f>I10-H10</f>
        <v>-2</v>
      </c>
      <c r="J11" s="19">
        <f>J10-I10</f>
        <v>0</v>
      </c>
      <c r="K11" s="19">
        <f>K10-J10</f>
        <v>2</v>
      </c>
      <c r="L11" s="22">
        <f>Scenarios!I23</f>
        <v>2</v>
      </c>
      <c r="M11" s="22">
        <f>Scenarios!J23</f>
        <v>1</v>
      </c>
      <c r="N11" s="22">
        <f>Scenarios!K23</f>
        <v>2</v>
      </c>
      <c r="O11" s="22">
        <f>Scenarios!L23</f>
        <v>1</v>
      </c>
      <c r="P11" s="22">
        <f>Scenarios!M23</f>
        <v>1</v>
      </c>
      <c r="Q11" s="22">
        <f>Scenarios!N23</f>
        <v>0</v>
      </c>
    </row>
    <row r="12" spans="3:21" s="12" customFormat="1">
      <c r="D12" s="12" t="s">
        <v>349</v>
      </c>
      <c r="E12" s="19"/>
      <c r="F12" s="19"/>
      <c r="G12" s="24">
        <f>G11/F10</f>
        <v>1.7921146953405018E-3</v>
      </c>
      <c r="H12" s="24">
        <f t="shared" ref="H12:Q12" si="0">H11/G10</f>
        <v>1.2522361359570662E-2</v>
      </c>
      <c r="I12" s="24">
        <f t="shared" si="0"/>
        <v>-3.5335689045936395E-3</v>
      </c>
      <c r="J12" s="24">
        <f t="shared" si="0"/>
        <v>0</v>
      </c>
      <c r="K12" s="24">
        <f t="shared" si="0"/>
        <v>3.5460992907801418E-3</v>
      </c>
      <c r="L12" s="24">
        <f t="shared" si="0"/>
        <v>3.5335689045936395E-3</v>
      </c>
      <c r="M12" s="24">
        <f t="shared" si="0"/>
        <v>1.7605633802816902E-3</v>
      </c>
      <c r="N12" s="24">
        <f t="shared" si="0"/>
        <v>3.5149384885764497E-3</v>
      </c>
      <c r="O12" s="24">
        <f t="shared" si="0"/>
        <v>1.7513134851138354E-3</v>
      </c>
      <c r="P12" s="24">
        <f t="shared" si="0"/>
        <v>1.7482517482517483E-3</v>
      </c>
      <c r="Q12" s="24">
        <f t="shared" si="0"/>
        <v>0</v>
      </c>
      <c r="R12" s="19"/>
    </row>
    <row r="13" spans="3:21" ht="12.75" customHeight="1">
      <c r="C13" s="18"/>
      <c r="D13" s="21" t="s">
        <v>476</v>
      </c>
      <c r="E13" s="19"/>
      <c r="F13" s="19">
        <f t="shared" ref="F13:K13" si="1">F16-F10</f>
        <v>268</v>
      </c>
      <c r="G13" s="19">
        <f t="shared" si="1"/>
        <v>268</v>
      </c>
      <c r="H13" s="19">
        <f t="shared" si="1"/>
        <v>265</v>
      </c>
      <c r="I13" s="19">
        <f t="shared" si="1"/>
        <v>257</v>
      </c>
      <c r="J13" s="19">
        <f t="shared" si="1"/>
        <v>262</v>
      </c>
      <c r="K13" s="19">
        <f t="shared" si="1"/>
        <v>257</v>
      </c>
      <c r="L13" s="22">
        <f t="shared" ref="L13:Q13" si="2">K13+L14</f>
        <v>259</v>
      </c>
      <c r="M13" s="22">
        <f t="shared" si="2"/>
        <v>261</v>
      </c>
      <c r="N13" s="22">
        <f t="shared" si="2"/>
        <v>263</v>
      </c>
      <c r="O13" s="22">
        <f t="shared" si="2"/>
        <v>265</v>
      </c>
      <c r="P13" s="22">
        <f t="shared" si="2"/>
        <v>267</v>
      </c>
      <c r="Q13" s="22">
        <f t="shared" si="2"/>
        <v>267</v>
      </c>
    </row>
    <row r="14" spans="3:21" s="12" customFormat="1">
      <c r="D14" s="12" t="s">
        <v>477</v>
      </c>
      <c r="E14" s="19" t="s">
        <v>310</v>
      </c>
      <c r="F14" s="25" t="s">
        <v>5</v>
      </c>
      <c r="G14" s="25">
        <f>G13-F13</f>
        <v>0</v>
      </c>
      <c r="H14" s="25">
        <f>H13-G13</f>
        <v>-3</v>
      </c>
      <c r="I14" s="25">
        <f>I13-H13</f>
        <v>-8</v>
      </c>
      <c r="J14" s="25">
        <f>J13-I13</f>
        <v>5</v>
      </c>
      <c r="K14" s="25">
        <f>K13-J13</f>
        <v>-5</v>
      </c>
      <c r="L14" s="26">
        <f>Scenarios!I29</f>
        <v>2</v>
      </c>
      <c r="M14" s="26">
        <f>Scenarios!J29</f>
        <v>2</v>
      </c>
      <c r="N14" s="26">
        <f>Scenarios!K29</f>
        <v>2</v>
      </c>
      <c r="O14" s="26">
        <f>Scenarios!L29</f>
        <v>2</v>
      </c>
      <c r="P14" s="26">
        <f>Scenarios!M29</f>
        <v>2</v>
      </c>
      <c r="Q14" s="27">
        <v>0</v>
      </c>
      <c r="U14" s="28"/>
    </row>
    <row r="15" spans="3:21" s="12" customFormat="1">
      <c r="D15" s="12" t="s">
        <v>349</v>
      </c>
      <c r="E15" s="19"/>
      <c r="F15" s="29"/>
      <c r="G15" s="29">
        <f>G13/F13-1</f>
        <v>0</v>
      </c>
      <c r="H15" s="29">
        <f t="shared" ref="H15:Q15" si="3">H13/G13-1</f>
        <v>-1.1194029850746245E-2</v>
      </c>
      <c r="I15" s="29">
        <f t="shared" si="3"/>
        <v>-3.0188679245283012E-2</v>
      </c>
      <c r="J15" s="29">
        <f t="shared" si="3"/>
        <v>1.9455252918287869E-2</v>
      </c>
      <c r="K15" s="29">
        <f t="shared" si="3"/>
        <v>-1.9083969465648831E-2</v>
      </c>
      <c r="L15" s="29">
        <f t="shared" si="3"/>
        <v>7.7821011673151474E-3</v>
      </c>
      <c r="M15" s="29">
        <f t="shared" si="3"/>
        <v>7.7220077220077066E-3</v>
      </c>
      <c r="N15" s="29">
        <f t="shared" si="3"/>
        <v>7.6628352490422103E-3</v>
      </c>
      <c r="O15" s="29">
        <f t="shared" si="3"/>
        <v>7.6045627376426506E-3</v>
      </c>
      <c r="P15" s="29">
        <f t="shared" si="3"/>
        <v>7.547169811320753E-3</v>
      </c>
      <c r="Q15" s="29">
        <f t="shared" si="3"/>
        <v>0</v>
      </c>
      <c r="R15" s="30"/>
      <c r="U15" s="28"/>
    </row>
    <row r="16" spans="3:21" s="12" customFormat="1">
      <c r="D16" s="21" t="s">
        <v>311</v>
      </c>
      <c r="E16" s="19" t="s">
        <v>310</v>
      </c>
      <c r="F16" s="19">
        <f>'Financial Analysis'!C21</f>
        <v>826</v>
      </c>
      <c r="G16" s="19">
        <f>'Financial Analysis'!D21</f>
        <v>827</v>
      </c>
      <c r="H16" s="19">
        <f>'Financial Analysis'!E21</f>
        <v>831</v>
      </c>
      <c r="I16" s="19">
        <f>'Financial Analysis'!F21</f>
        <v>821</v>
      </c>
      <c r="J16" s="19">
        <f>'Financial Analysis'!G21</f>
        <v>826</v>
      </c>
      <c r="K16" s="19">
        <f>'Financial Analysis'!H21</f>
        <v>823</v>
      </c>
      <c r="L16" s="22">
        <f t="shared" ref="L16:Q16" si="4">L10+L13</f>
        <v>827</v>
      </c>
      <c r="M16" s="22">
        <f t="shared" si="4"/>
        <v>830</v>
      </c>
      <c r="N16" s="22">
        <f t="shared" si="4"/>
        <v>834</v>
      </c>
      <c r="O16" s="22">
        <f t="shared" si="4"/>
        <v>837</v>
      </c>
      <c r="P16" s="22">
        <f t="shared" si="4"/>
        <v>840</v>
      </c>
      <c r="Q16" s="22">
        <f t="shared" si="4"/>
        <v>840</v>
      </c>
    </row>
    <row r="17" spans="3:18" s="12" customFormat="1">
      <c r="D17" s="12" t="s">
        <v>349</v>
      </c>
      <c r="E17" s="19"/>
      <c r="F17" s="31" t="s">
        <v>5</v>
      </c>
      <c r="G17" s="32">
        <f t="shared" ref="G17:Q17" si="5">G16/F16-1</f>
        <v>1.210653753026536E-3</v>
      </c>
      <c r="H17" s="32">
        <f t="shared" si="5"/>
        <v>4.8367593712212997E-3</v>
      </c>
      <c r="I17" s="32">
        <f t="shared" si="5"/>
        <v>-1.2033694344163681E-2</v>
      </c>
      <c r="J17" s="32">
        <f t="shared" si="5"/>
        <v>6.0901339829475543E-3</v>
      </c>
      <c r="K17" s="32">
        <f t="shared" si="5"/>
        <v>-3.6319612590799411E-3</v>
      </c>
      <c r="L17" s="32">
        <f t="shared" si="5"/>
        <v>4.8602673147022379E-3</v>
      </c>
      <c r="M17" s="32">
        <f t="shared" si="5"/>
        <v>3.6275695284160303E-3</v>
      </c>
      <c r="N17" s="32">
        <f t="shared" si="5"/>
        <v>4.8192771084336616E-3</v>
      </c>
      <c r="O17" s="32">
        <f t="shared" si="5"/>
        <v>3.597122302158251E-3</v>
      </c>
      <c r="P17" s="32">
        <f t="shared" si="5"/>
        <v>3.5842293906809264E-3</v>
      </c>
      <c r="Q17" s="32">
        <f t="shared" si="5"/>
        <v>0</v>
      </c>
    </row>
    <row r="18" spans="3:18" s="12" customFormat="1">
      <c r="C18" s="33"/>
      <c r="D18" s="33"/>
      <c r="E18" s="34"/>
      <c r="F18" s="34"/>
      <c r="G18" s="34"/>
      <c r="H18" s="34"/>
      <c r="I18" s="33"/>
      <c r="J18" s="35"/>
      <c r="K18" s="35"/>
      <c r="L18" s="35"/>
      <c r="M18" s="35"/>
      <c r="N18" s="35"/>
      <c r="O18" s="35"/>
      <c r="P18" s="35"/>
      <c r="Q18" s="36"/>
    </row>
    <row r="19" spans="3:18" s="12" customFormat="1">
      <c r="C19" s="18" t="s">
        <v>350</v>
      </c>
      <c r="E19" s="19"/>
      <c r="F19" s="19"/>
      <c r="G19" s="19"/>
      <c r="H19" s="19"/>
      <c r="J19" s="22"/>
      <c r="K19" s="22"/>
      <c r="L19" s="22"/>
      <c r="M19" s="22"/>
      <c r="N19" s="22"/>
      <c r="O19" s="22"/>
      <c r="P19" s="22"/>
      <c r="Q19" s="37"/>
    </row>
    <row r="20" spans="3:18" s="12" customFormat="1">
      <c r="C20" s="18"/>
      <c r="E20" s="19"/>
      <c r="F20" s="19"/>
      <c r="G20" s="19"/>
      <c r="H20" s="19"/>
      <c r="J20" s="22"/>
      <c r="K20" s="22"/>
      <c r="L20" s="22"/>
      <c r="M20" s="22"/>
      <c r="N20" s="22"/>
      <c r="O20" s="22"/>
      <c r="P20" s="22"/>
      <c r="Q20" s="22"/>
    </row>
    <row r="21" spans="3:18" s="12" customFormat="1">
      <c r="D21" s="21" t="s">
        <v>309</v>
      </c>
      <c r="E21" s="19" t="s">
        <v>8</v>
      </c>
      <c r="F21" s="38">
        <f t="shared" ref="F21:K21" si="6">F29/F10</f>
        <v>8.5243727598566323</v>
      </c>
      <c r="G21" s="38">
        <f t="shared" si="6"/>
        <v>8.6341681574239715</v>
      </c>
      <c r="H21" s="38">
        <f t="shared" si="6"/>
        <v>8.6358657243816239</v>
      </c>
      <c r="I21" s="38">
        <f t="shared" si="6"/>
        <v>8.7047872340425538</v>
      </c>
      <c r="J21" s="38">
        <f t="shared" si="6"/>
        <v>9.074113475177306</v>
      </c>
      <c r="K21" s="38">
        <f t="shared" si="6"/>
        <v>8.9348056537102476</v>
      </c>
      <c r="L21" s="38">
        <f>K21*(1+Scenarios!I11)</f>
        <v>9.1224365724381613</v>
      </c>
      <c r="M21" s="38">
        <f>L21*(1+Scenarios!J11)</f>
        <v>9.3140077404593615</v>
      </c>
      <c r="N21" s="38">
        <f>M21*(1+Scenarios!K11)</f>
        <v>9.509601903009008</v>
      </c>
      <c r="O21" s="38">
        <f>N21*(1+Scenarios!L11)</f>
        <v>9.7093035429721954</v>
      </c>
      <c r="P21" s="38">
        <f>O21*(1+Scenarios!M11)</f>
        <v>9.9131989173746113</v>
      </c>
      <c r="Q21" s="38">
        <f>P21*(1+Scenarios!N11)</f>
        <v>10.121376094639476</v>
      </c>
    </row>
    <row r="22" spans="3:18" s="12" customFormat="1">
      <c r="D22" s="12" t="s">
        <v>349</v>
      </c>
      <c r="E22" s="19"/>
      <c r="F22" s="38"/>
      <c r="G22" s="39">
        <f>G21/F21-1</f>
        <v>1.2880173199885547E-2</v>
      </c>
      <c r="H22" s="39">
        <f t="shared" ref="H22:Q22" si="7">H21/G21-1</f>
        <v>1.9661036555018718E-4</v>
      </c>
      <c r="I22" s="39">
        <f t="shared" si="7"/>
        <v>7.9808454485743585E-3</v>
      </c>
      <c r="J22" s="39">
        <f>J21/I21-1</f>
        <v>4.242794581932996E-2</v>
      </c>
      <c r="K22" s="39">
        <f t="shared" si="7"/>
        <v>-1.5352223867173609E-2</v>
      </c>
      <c r="L22" s="39">
        <f t="shared" si="7"/>
        <v>2.0999999999999908E-2</v>
      </c>
      <c r="M22" s="39">
        <f t="shared" si="7"/>
        <v>2.0999999999999908E-2</v>
      </c>
      <c r="N22" s="39">
        <f t="shared" si="7"/>
        <v>2.0999999999999908E-2</v>
      </c>
      <c r="O22" s="39">
        <f t="shared" si="7"/>
        <v>2.0999999999999908E-2</v>
      </c>
      <c r="P22" s="39">
        <f t="shared" si="7"/>
        <v>2.0999999999999908E-2</v>
      </c>
      <c r="Q22" s="39">
        <f t="shared" si="7"/>
        <v>2.0999999999999908E-2</v>
      </c>
    </row>
    <row r="23" spans="3:18" s="12" customFormat="1">
      <c r="D23" s="21" t="s">
        <v>473</v>
      </c>
      <c r="E23" s="19" t="s">
        <v>8</v>
      </c>
      <c r="F23" s="38">
        <f t="shared" ref="F23:K23" si="8">F31/F13</f>
        <v>22.270895522388059</v>
      </c>
      <c r="G23" s="38">
        <f t="shared" si="8"/>
        <v>26.617537313432837</v>
      </c>
      <c r="H23" s="38">
        <f t="shared" si="8"/>
        <v>24.358490566037737</v>
      </c>
      <c r="I23" s="38">
        <f t="shared" si="8"/>
        <v>25.240856031128402</v>
      </c>
      <c r="J23" s="38">
        <f t="shared" si="8"/>
        <v>25.02709923664122</v>
      </c>
      <c r="K23" s="38">
        <f t="shared" si="8"/>
        <v>24.691439688715949</v>
      </c>
      <c r="L23" s="38">
        <f>K23*(1+Scenarios!I17)</f>
        <v>25.406383488250025</v>
      </c>
      <c r="M23" s="38">
        <f>L23*(1+Scenarios!J17)</f>
        <v>26.142028577094734</v>
      </c>
      <c r="N23" s="38">
        <f>M23*(1+Scenarios!K17)</f>
        <v>26.898974363734219</v>
      </c>
      <c r="O23" s="38">
        <f>N23*(1+Scenarios!L17)</f>
        <v>27.677837612602065</v>
      </c>
      <c r="P23" s="38">
        <f>O23*(1+Scenarios!M17)</f>
        <v>28.479252946625056</v>
      </c>
      <c r="Q23" s="38">
        <f>P23*(1+Scenarios!N17)</f>
        <v>29.303873364318122</v>
      </c>
    </row>
    <row r="24" spans="3:18" s="12" customFormat="1">
      <c r="D24" s="12" t="s">
        <v>349</v>
      </c>
      <c r="E24" s="19"/>
      <c r="F24" s="38"/>
      <c r="G24" s="40">
        <f>G23/F23-1</f>
        <v>0.19517139697751573</v>
      </c>
      <c r="H24" s="40">
        <f t="shared" ref="H24:Q24" si="9">H23/G23-1</f>
        <v>-8.4870614467216221E-2</v>
      </c>
      <c r="I24" s="40">
        <f t="shared" si="9"/>
        <v>3.6224143803102349E-2</v>
      </c>
      <c r="J24" s="40">
        <f t="shared" si="9"/>
        <v>-8.4686824497380853E-3</v>
      </c>
      <c r="K24" s="40">
        <f t="shared" si="9"/>
        <v>-1.3411843887758512E-2</v>
      </c>
      <c r="L24" s="40">
        <f t="shared" si="9"/>
        <v>2.8955128115142115E-2</v>
      </c>
      <c r="M24" s="40">
        <f t="shared" si="9"/>
        <v>2.8955128115142115E-2</v>
      </c>
      <c r="N24" s="40">
        <f t="shared" si="9"/>
        <v>2.8955128115142115E-2</v>
      </c>
      <c r="O24" s="40">
        <f t="shared" si="9"/>
        <v>2.8955128115142115E-2</v>
      </c>
      <c r="P24" s="40">
        <f t="shared" si="9"/>
        <v>2.8955128115142115E-2</v>
      </c>
      <c r="Q24" s="40">
        <f t="shared" si="9"/>
        <v>2.8955128115142115E-2</v>
      </c>
    </row>
    <row r="25" spans="3:18" s="12" customFormat="1">
      <c r="E25" s="19"/>
      <c r="F25" s="38">
        <f t="shared" ref="F25:Q25" si="10">F33/F16</f>
        <v>12.98450363196126</v>
      </c>
      <c r="G25" s="38">
        <f t="shared" si="10"/>
        <v>14.461910519951632</v>
      </c>
      <c r="H25" s="38">
        <f t="shared" si="10"/>
        <v>13.649699157641395</v>
      </c>
      <c r="I25" s="38">
        <f t="shared" si="10"/>
        <v>13.881120584652862</v>
      </c>
      <c r="J25" s="38">
        <f t="shared" si="10"/>
        <v>14.134261501210654</v>
      </c>
      <c r="K25" s="38">
        <f t="shared" si="10"/>
        <v>13.85516403402187</v>
      </c>
      <c r="L25" s="38">
        <f t="shared" si="10"/>
        <v>14.222245824185769</v>
      </c>
      <c r="M25" s="38">
        <f t="shared" si="10"/>
        <v>14.605710678244701</v>
      </c>
      <c r="N25" s="38">
        <f t="shared" si="10"/>
        <v>14.993300892422354</v>
      </c>
      <c r="O25" s="38">
        <f t="shared" si="10"/>
        <v>15.398265942556325</v>
      </c>
      <c r="P25" s="38">
        <f t="shared" si="10"/>
        <v>15.814551805243502</v>
      </c>
      <c r="Q25" s="38">
        <f t="shared" si="10"/>
        <v>16.218669869644476</v>
      </c>
    </row>
    <row r="26" spans="3:18" s="12" customFormat="1">
      <c r="D26" s="12" t="s">
        <v>349</v>
      </c>
      <c r="E26" s="19"/>
      <c r="F26" s="41" t="s">
        <v>5</v>
      </c>
      <c r="G26" s="42">
        <f>(G21/F21)-1</f>
        <v>1.2880173199885547E-2</v>
      </c>
      <c r="H26" s="42">
        <f>(H21/G21)-1</f>
        <v>1.9661036555018718E-4</v>
      </c>
      <c r="I26" s="42">
        <f>(I21/H21)-1</f>
        <v>7.9808454485743585E-3</v>
      </c>
      <c r="J26" s="42">
        <f>(J21/I21)-1</f>
        <v>4.242794581932996E-2</v>
      </c>
      <c r="K26" s="42">
        <f>(K21/J21)-1</f>
        <v>-1.5352223867173609E-2</v>
      </c>
      <c r="L26" s="42">
        <f t="shared" ref="L26:Q26" si="11">(L21/K21)-1</f>
        <v>2.0999999999999908E-2</v>
      </c>
      <c r="M26" s="42">
        <f t="shared" si="11"/>
        <v>2.0999999999999908E-2</v>
      </c>
      <c r="N26" s="42">
        <f t="shared" si="11"/>
        <v>2.0999999999999908E-2</v>
      </c>
      <c r="O26" s="42">
        <f t="shared" si="11"/>
        <v>2.0999999999999908E-2</v>
      </c>
      <c r="P26" s="42">
        <f t="shared" si="11"/>
        <v>2.0999999999999908E-2</v>
      </c>
      <c r="Q26" s="42">
        <f t="shared" si="11"/>
        <v>2.0999999999999908E-2</v>
      </c>
    </row>
    <row r="27" spans="3:18" s="12" customFormat="1" ht="6" customHeight="1">
      <c r="C27" s="33"/>
      <c r="D27" s="33"/>
      <c r="E27" s="34"/>
      <c r="F27" s="34"/>
      <c r="G27" s="34"/>
      <c r="H27" s="34"/>
      <c r="I27" s="33"/>
      <c r="J27" s="35"/>
      <c r="K27" s="35"/>
      <c r="L27" s="35"/>
      <c r="M27" s="35"/>
      <c r="N27" s="35"/>
      <c r="O27" s="35"/>
      <c r="P27" s="35"/>
      <c r="Q27" s="36"/>
    </row>
    <row r="28" spans="3:18" s="12" customFormat="1">
      <c r="C28" s="21" t="s">
        <v>351</v>
      </c>
      <c r="E28" s="19"/>
      <c r="F28" s="19"/>
      <c r="G28" s="1041">
        <f>(1+G24)</f>
        <v>1.1951713969775157</v>
      </c>
      <c r="H28" s="1041">
        <f t="shared" ref="H28:K28" si="12">(1+H24)</f>
        <v>0.91512938553278378</v>
      </c>
      <c r="I28" s="1041">
        <f t="shared" si="12"/>
        <v>1.0362241438031023</v>
      </c>
      <c r="J28" s="1041">
        <f t="shared" si="12"/>
        <v>0.99153131755026191</v>
      </c>
      <c r="K28" s="1041">
        <f t="shared" si="12"/>
        <v>0.98658815611224149</v>
      </c>
      <c r="L28" s="22">
        <f>(PRODUCT(G28,H28,I28,J28,K28)^0.2)</f>
        <v>1.020849561390762</v>
      </c>
      <c r="M28" s="22"/>
      <c r="N28" s="22"/>
      <c r="O28" s="22"/>
      <c r="P28" s="22"/>
      <c r="Q28" s="23"/>
    </row>
    <row r="29" spans="3:18">
      <c r="D29" s="18" t="s">
        <v>475</v>
      </c>
      <c r="F29" s="3">
        <f>'Financial Analysis'!C7</f>
        <v>4756.6000000000004</v>
      </c>
      <c r="G29" s="3">
        <f>'Financial Analysis'!D7</f>
        <v>4826.5</v>
      </c>
      <c r="H29" s="3">
        <f>'Financial Analysis'!E7</f>
        <v>4887.8999999999996</v>
      </c>
      <c r="I29" s="3">
        <f>'Financial Analysis'!F7</f>
        <v>4909.5</v>
      </c>
      <c r="J29" s="3">
        <f>'Financial Analysis'!G7</f>
        <v>5117.8</v>
      </c>
      <c r="K29" s="3">
        <f>'Financial Analysis'!H7</f>
        <v>5057.1000000000004</v>
      </c>
      <c r="L29" s="3">
        <f>L21*L10</f>
        <v>5181.543973144876</v>
      </c>
      <c r="M29" s="3">
        <f t="shared" ref="M29:Q29" si="13">M21*M10</f>
        <v>5299.6704043213767</v>
      </c>
      <c r="N29" s="3">
        <f t="shared" si="13"/>
        <v>5429.9826866181438</v>
      </c>
      <c r="O29" s="3">
        <f t="shared" si="13"/>
        <v>5553.7216265800962</v>
      </c>
      <c r="P29" s="3">
        <f t="shared" si="13"/>
        <v>5680.2629796556521</v>
      </c>
      <c r="Q29" s="3">
        <f t="shared" si="13"/>
        <v>5799.5485022284201</v>
      </c>
    </row>
    <row r="30" spans="3:18">
      <c r="D30" s="43" t="s">
        <v>349</v>
      </c>
      <c r="G30" s="44">
        <f>G29/F29-1</f>
        <v>1.4695370642896055E-2</v>
      </c>
      <c r="H30" s="44">
        <f t="shared" ref="H30:Q30" si="14">H29/G29-1</f>
        <v>1.2721433751165412E-2</v>
      </c>
      <c r="I30" s="44">
        <f t="shared" si="14"/>
        <v>4.4190756766711026E-3</v>
      </c>
      <c r="J30" s="44">
        <f t="shared" si="14"/>
        <v>4.242794581932996E-2</v>
      </c>
      <c r="K30" s="44">
        <f t="shared" si="14"/>
        <v>-1.1860565086560637E-2</v>
      </c>
      <c r="L30" s="44">
        <f t="shared" si="14"/>
        <v>2.4607773851589965E-2</v>
      </c>
      <c r="M30" s="44">
        <f t="shared" si="14"/>
        <v>2.2797535211267483E-2</v>
      </c>
      <c r="N30" s="44">
        <f t="shared" si="14"/>
        <v>2.458875219683665E-2</v>
      </c>
      <c r="O30" s="44">
        <f t="shared" si="14"/>
        <v>2.2788091068301153E-2</v>
      </c>
      <c r="P30" s="44">
        <f t="shared" si="14"/>
        <v>2.2784965034964966E-2</v>
      </c>
      <c r="Q30" s="44">
        <f t="shared" si="14"/>
        <v>2.0999999999999908E-2</v>
      </c>
    </row>
    <row r="31" spans="3:18" s="12" customFormat="1">
      <c r="D31" s="21" t="s">
        <v>474</v>
      </c>
      <c r="E31" s="45"/>
      <c r="F31" s="46">
        <f>'Financial Analysis'!C9</f>
        <v>5968.6</v>
      </c>
      <c r="G31" s="46">
        <f>'Financial Analysis'!D9</f>
        <v>7133.5</v>
      </c>
      <c r="H31" s="46">
        <f>'Financial Analysis'!E9</f>
        <v>6455</v>
      </c>
      <c r="I31" s="46">
        <f>'Financial Analysis'!F9</f>
        <v>6486.9</v>
      </c>
      <c r="J31" s="46">
        <f>'Financial Analysis'!G9</f>
        <v>6557.0999999999995</v>
      </c>
      <c r="K31" s="46">
        <f>'Financial Analysis'!H9</f>
        <v>6345.6999999999989</v>
      </c>
      <c r="L31" s="47">
        <f>L23*L13</f>
        <v>6580.2533234567563</v>
      </c>
      <c r="M31" s="47">
        <f t="shared" ref="M31:Q31" si="15">M23*M13</f>
        <v>6823.069458621726</v>
      </c>
      <c r="N31" s="47">
        <f t="shared" si="15"/>
        <v>7074.4302576620994</v>
      </c>
      <c r="O31" s="47">
        <f t="shared" si="15"/>
        <v>7334.6269673395473</v>
      </c>
      <c r="P31" s="47">
        <f t="shared" si="15"/>
        <v>7603.9605367488903</v>
      </c>
      <c r="Q31" s="47">
        <f t="shared" si="15"/>
        <v>7824.1341882729384</v>
      </c>
      <c r="R31" s="48"/>
    </row>
    <row r="32" spans="3:18" s="12" customFormat="1">
      <c r="D32" s="43" t="s">
        <v>349</v>
      </c>
      <c r="E32" s="45"/>
      <c r="F32" s="46"/>
      <c r="G32" s="49">
        <f>G31/F31-1</f>
        <v>0.19517139697751551</v>
      </c>
      <c r="H32" s="49">
        <f t="shared" ref="H32:Q32" si="16">H31/G31-1</f>
        <v>-9.5114600126165239E-2</v>
      </c>
      <c r="I32" s="49">
        <f t="shared" si="16"/>
        <v>4.9419054996127088E-3</v>
      </c>
      <c r="J32" s="49">
        <f t="shared" si="16"/>
        <v>1.082181010960559E-2</v>
      </c>
      <c r="K32" s="49">
        <f t="shared" si="16"/>
        <v>-3.223986213417529E-2</v>
      </c>
      <c r="L32" s="49">
        <f t="shared" si="16"/>
        <v>3.696256101876183E-2</v>
      </c>
      <c r="M32" s="49">
        <f t="shared" si="16"/>
        <v>3.6900727560046809E-2</v>
      </c>
      <c r="N32" s="49">
        <f t="shared" si="16"/>
        <v>3.6839841740545332E-2</v>
      </c>
      <c r="O32" s="49">
        <f t="shared" si="16"/>
        <v>3.6779881941112702E-2</v>
      </c>
      <c r="P32" s="49">
        <f t="shared" si="16"/>
        <v>3.6720827195256378E-2</v>
      </c>
      <c r="Q32" s="49">
        <f t="shared" si="16"/>
        <v>2.8955128115142115E-2</v>
      </c>
      <c r="R32" s="48"/>
    </row>
    <row r="33" spans="3:18" s="12" customFormat="1">
      <c r="D33" s="12" t="s">
        <v>387</v>
      </c>
      <c r="E33" s="45" t="s">
        <v>2</v>
      </c>
      <c r="F33" s="46">
        <v>10725.2</v>
      </c>
      <c r="G33" s="46">
        <v>11960</v>
      </c>
      <c r="H33" s="46">
        <v>11342.9</v>
      </c>
      <c r="I33" s="50">
        <v>11396.4</v>
      </c>
      <c r="J33" s="51">
        <v>11674.9</v>
      </c>
      <c r="K33" s="51">
        <v>11402.8</v>
      </c>
      <c r="L33" s="47">
        <f>L31+L29</f>
        <v>11761.797296601631</v>
      </c>
      <c r="M33" s="47">
        <f t="shared" ref="M33:Q33" si="17">M31+M29</f>
        <v>12122.739862943103</v>
      </c>
      <c r="N33" s="47">
        <f t="shared" si="17"/>
        <v>12504.412944280244</v>
      </c>
      <c r="O33" s="47">
        <f t="shared" si="17"/>
        <v>12888.348593919643</v>
      </c>
      <c r="P33" s="47">
        <f t="shared" si="17"/>
        <v>13284.223516404541</v>
      </c>
      <c r="Q33" s="47">
        <f t="shared" si="17"/>
        <v>13623.682690501359</v>
      </c>
      <c r="R33" s="48"/>
    </row>
    <row r="34" spans="3:18">
      <c r="D34" s="12" t="s">
        <v>308</v>
      </c>
      <c r="E34" s="45" t="s">
        <v>1</v>
      </c>
      <c r="F34" s="52" t="s">
        <v>5</v>
      </c>
      <c r="G34" s="53">
        <f>(G33/F33)-1</f>
        <v>0.11513072017305026</v>
      </c>
      <c r="H34" s="53">
        <f>(H33/G33)-1</f>
        <v>-5.1596989966555262E-2</v>
      </c>
      <c r="I34" s="53">
        <f>(I33/H33)-1</f>
        <v>4.7166068642057191E-3</v>
      </c>
      <c r="J34" s="53">
        <f>(J33/I33)-1</f>
        <v>2.4437541679828811E-2</v>
      </c>
      <c r="K34" s="53">
        <f>(K33/J33)-1</f>
        <v>-2.3306409476740786E-2</v>
      </c>
      <c r="L34" s="52">
        <f t="shared" ref="L34:Q34" si="18">L33/K33-1</f>
        <v>3.1483258199883624E-2</v>
      </c>
      <c r="M34" s="52">
        <f t="shared" si="18"/>
        <v>3.0687705053866088E-2</v>
      </c>
      <c r="N34" s="52">
        <f t="shared" si="18"/>
        <v>3.1484061000421448E-2</v>
      </c>
      <c r="O34" s="52">
        <f t="shared" si="18"/>
        <v>3.0704012363492739E-2</v>
      </c>
      <c r="P34" s="52">
        <f t="shared" si="18"/>
        <v>3.071572122681876E-2</v>
      </c>
      <c r="Q34" s="52">
        <f t="shared" si="18"/>
        <v>2.555355784834723E-2</v>
      </c>
    </row>
    <row r="35" spans="3:18">
      <c r="D35" s="18" t="s">
        <v>352</v>
      </c>
      <c r="F35" s="54">
        <f t="shared" ref="F35:Q35" si="19">F33</f>
        <v>10725.2</v>
      </c>
      <c r="G35" s="54">
        <f t="shared" si="19"/>
        <v>11960</v>
      </c>
      <c r="H35" s="54">
        <f t="shared" si="19"/>
        <v>11342.9</v>
      </c>
      <c r="I35" s="54">
        <f t="shared" si="19"/>
        <v>11396.4</v>
      </c>
      <c r="J35" s="54">
        <f t="shared" si="19"/>
        <v>11674.9</v>
      </c>
      <c r="K35" s="54">
        <f t="shared" si="19"/>
        <v>11402.8</v>
      </c>
      <c r="L35" s="55">
        <f t="shared" si="19"/>
        <v>11761.797296601631</v>
      </c>
      <c r="M35" s="55">
        <f t="shared" si="19"/>
        <v>12122.739862943103</v>
      </c>
      <c r="N35" s="55">
        <f t="shared" si="19"/>
        <v>12504.412944280244</v>
      </c>
      <c r="O35" s="55">
        <f t="shared" si="19"/>
        <v>12888.348593919643</v>
      </c>
      <c r="P35" s="55">
        <f t="shared" si="19"/>
        <v>13284.223516404541</v>
      </c>
      <c r="Q35" s="55">
        <f t="shared" si="19"/>
        <v>13623.682690501359</v>
      </c>
      <c r="R35" s="56"/>
    </row>
    <row r="36" spans="3:18" ht="6" customHeight="1">
      <c r="C36" s="11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57"/>
    </row>
    <row r="37" spans="3:18" s="12" customFormat="1">
      <c r="C37" s="21"/>
    </row>
    <row r="38" spans="3:18" s="12" customFormat="1" ht="15" thickBot="1">
      <c r="D38" s="283" t="s">
        <v>353</v>
      </c>
      <c r="E38" s="283"/>
      <c r="F38" s="283"/>
      <c r="G38" s="283"/>
      <c r="H38" s="283"/>
      <c r="I38" s="284"/>
      <c r="J38" s="284"/>
      <c r="K38" s="284"/>
      <c r="L38" s="284"/>
      <c r="M38" s="284"/>
      <c r="N38" s="284"/>
      <c r="O38" s="284"/>
      <c r="P38" s="284"/>
      <c r="Q38" s="284"/>
    </row>
    <row r="39" spans="3:18" s="12" customFormat="1" ht="8" customHeight="1">
      <c r="I39" s="58"/>
      <c r="J39" s="58"/>
      <c r="K39" s="58"/>
      <c r="L39" s="58"/>
      <c r="M39" s="58"/>
      <c r="N39" s="58"/>
      <c r="O39" s="58"/>
      <c r="P39" s="58"/>
      <c r="Q39" s="58"/>
    </row>
    <row r="40" spans="3:18" s="12" customFormat="1">
      <c r="F40" s="59"/>
      <c r="G40" s="59"/>
      <c r="H40" s="59"/>
      <c r="I40" s="60"/>
      <c r="J40" s="60"/>
      <c r="K40" s="60"/>
      <c r="L40" s="61"/>
      <c r="M40" s="61"/>
      <c r="N40" s="62" t="s">
        <v>265</v>
      </c>
      <c r="O40" s="63"/>
      <c r="P40" s="63"/>
      <c r="Q40" s="62"/>
    </row>
    <row r="41" spans="3:18" s="12" customFormat="1" ht="6" customHeight="1">
      <c r="F41" s="59"/>
      <c r="G41" s="59"/>
      <c r="H41" s="59"/>
      <c r="I41" s="60"/>
      <c r="J41" s="60"/>
      <c r="K41" s="60"/>
      <c r="L41" s="60"/>
      <c r="M41" s="60"/>
      <c r="N41" s="64"/>
      <c r="O41" s="64"/>
      <c r="P41" s="64"/>
      <c r="Q41" s="65"/>
    </row>
    <row r="42" spans="3:18" s="12" customFormat="1">
      <c r="F42" s="62" t="str">
        <f>F8</f>
        <v>2008A</v>
      </c>
      <c r="G42" s="62" t="str">
        <f>G8</f>
        <v>2009A</v>
      </c>
      <c r="H42" s="62" t="str">
        <f>H8</f>
        <v>2010A</v>
      </c>
      <c r="I42" s="66">
        <v>2011</v>
      </c>
      <c r="J42" s="66">
        <v>2012</v>
      </c>
      <c r="K42" s="66">
        <v>2013</v>
      </c>
      <c r="L42" s="66">
        <v>2014</v>
      </c>
      <c r="M42" s="66">
        <v>2015</v>
      </c>
      <c r="N42" s="66">
        <v>2016</v>
      </c>
      <c r="O42" s="66">
        <v>2017</v>
      </c>
      <c r="P42" s="66">
        <v>2018</v>
      </c>
      <c r="Q42" s="66" t="s">
        <v>303</v>
      </c>
    </row>
    <row r="43" spans="3:18" s="12" customFormat="1">
      <c r="C43" s="21" t="s">
        <v>354</v>
      </c>
      <c r="F43" s="59"/>
      <c r="G43" s="59"/>
      <c r="H43" s="59"/>
      <c r="I43" s="66"/>
      <c r="J43" s="59"/>
      <c r="K43" s="59"/>
      <c r="L43" s="59"/>
      <c r="M43" s="66"/>
      <c r="N43" s="59"/>
      <c r="O43" s="59"/>
      <c r="P43" s="66"/>
      <c r="Q43" s="67"/>
    </row>
    <row r="44" spans="3:18" s="12" customFormat="1">
      <c r="D44" s="12" t="s">
        <v>31</v>
      </c>
      <c r="E44" s="45" t="s">
        <v>1</v>
      </c>
      <c r="F44" s="68">
        <f t="shared" ref="F44:K44" si="20">F48/F35</f>
        <v>0.81977958452989208</v>
      </c>
      <c r="G44" s="68">
        <f t="shared" si="20"/>
        <v>0.77058528428093653</v>
      </c>
      <c r="H44" s="68">
        <f t="shared" si="20"/>
        <v>0.81700446975641161</v>
      </c>
      <c r="I44" s="68">
        <f t="shared" si="20"/>
        <v>0.81899547225439617</v>
      </c>
      <c r="J44" s="68">
        <f t="shared" si="20"/>
        <v>0.81250374735543773</v>
      </c>
      <c r="K44" s="68">
        <f t="shared" si="20"/>
        <v>0.81006419475918201</v>
      </c>
      <c r="L44" s="69">
        <f>Scenarios!I59</f>
        <v>0.81</v>
      </c>
      <c r="M44" s="69">
        <f>Scenarios!J59</f>
        <v>0.81</v>
      </c>
      <c r="N44" s="69">
        <f>Scenarios!K59</f>
        <v>0.81</v>
      </c>
      <c r="O44" s="69">
        <f>Scenarios!L59</f>
        <v>0.81</v>
      </c>
      <c r="P44" s="69">
        <f>Scenarios!M59</f>
        <v>0.81</v>
      </c>
      <c r="Q44" s="69">
        <f>Scenarios!N59</f>
        <v>0.81</v>
      </c>
    </row>
    <row r="45" spans="3:18" s="12" customFormat="1">
      <c r="D45" s="12" t="s">
        <v>680</v>
      </c>
      <c r="E45" s="45"/>
      <c r="F45" s="68">
        <f>F46-F44</f>
        <v>0.12222041547010787</v>
      </c>
      <c r="G45" s="68">
        <f t="shared" ref="G45:H45" si="21">G46-G44</f>
        <v>0.11341471571906347</v>
      </c>
      <c r="H45" s="68">
        <f t="shared" si="21"/>
        <v>0.11699553024358844</v>
      </c>
      <c r="I45" s="68">
        <f>AVERAGE(F45:H45)</f>
        <v>0.11754355381091992</v>
      </c>
      <c r="J45" s="68">
        <f t="shared" ref="J45:K45" si="22">AVERAGE(G45:I45)</f>
        <v>0.11598459992452394</v>
      </c>
      <c r="K45" s="68">
        <f t="shared" si="22"/>
        <v>0.11684122799301076</v>
      </c>
      <c r="L45" s="68">
        <f>Scenarios!I65</f>
        <v>0.11749999999999999</v>
      </c>
      <c r="M45" s="68">
        <f>Scenarios!J65</f>
        <v>0.11749999999999999</v>
      </c>
      <c r="N45" s="68">
        <f>Scenarios!K65</f>
        <v>0.11749999999999999</v>
      </c>
      <c r="O45" s="68">
        <f>Scenarios!L65</f>
        <v>0.11749999999999999</v>
      </c>
      <c r="P45" s="68">
        <f>Scenarios!M65</f>
        <v>0.11749999999999999</v>
      </c>
      <c r="Q45" s="68">
        <f>Scenarios!N65</f>
        <v>0.11749999999999999</v>
      </c>
    </row>
    <row r="46" spans="3:18" s="12" customFormat="1">
      <c r="C46" s="72" t="s">
        <v>355</v>
      </c>
      <c r="D46" s="12" t="s">
        <v>360</v>
      </c>
      <c r="E46" s="45" t="s">
        <v>1</v>
      </c>
      <c r="F46" s="73">
        <v>0.94199999999999995</v>
      </c>
      <c r="G46" s="73">
        <v>0.88400000000000001</v>
      </c>
      <c r="H46" s="73">
        <v>0.93400000000000005</v>
      </c>
      <c r="I46" s="73">
        <v>0.93500000000000005</v>
      </c>
      <c r="J46" s="73">
        <v>0.93</v>
      </c>
      <c r="K46" s="73">
        <v>0.92800000000000005</v>
      </c>
      <c r="L46" s="74">
        <f>L44+L45</f>
        <v>0.92749999999999999</v>
      </c>
      <c r="M46" s="74">
        <f t="shared" ref="M46:Q46" si="23">M44+M45</f>
        <v>0.92749999999999999</v>
      </c>
      <c r="N46" s="74">
        <f t="shared" si="23"/>
        <v>0.92749999999999999</v>
      </c>
      <c r="O46" s="74">
        <f t="shared" si="23"/>
        <v>0.92749999999999999</v>
      </c>
      <c r="P46" s="74">
        <f t="shared" si="23"/>
        <v>0.92749999999999999</v>
      </c>
      <c r="Q46" s="74">
        <f t="shared" si="23"/>
        <v>0.92749999999999999</v>
      </c>
    </row>
    <row r="47" spans="3:18" s="12" customFormat="1">
      <c r="C47" s="72"/>
      <c r="E47" s="45"/>
      <c r="F47" s="75"/>
      <c r="G47" s="75"/>
      <c r="H47" s="75"/>
      <c r="I47" s="70"/>
      <c r="J47" s="70"/>
      <c r="K47" s="70"/>
      <c r="L47" s="70"/>
      <c r="M47" s="70"/>
      <c r="N47" s="70"/>
      <c r="O47" s="70"/>
      <c r="P47" s="70"/>
      <c r="Q47" s="71"/>
    </row>
    <row r="48" spans="3:18" s="12" customFormat="1" ht="15">
      <c r="D48" s="12" t="s">
        <v>31</v>
      </c>
      <c r="E48" s="45" t="s">
        <v>2</v>
      </c>
      <c r="F48" s="76">
        <v>8792.2999999999993</v>
      </c>
      <c r="G48" s="76">
        <v>9216.2000000000007</v>
      </c>
      <c r="H48" s="76">
        <v>9267.2000000000007</v>
      </c>
      <c r="I48" s="77">
        <v>9333.6</v>
      </c>
      <c r="J48" s="77">
        <f>-'[4]Historical statement analysis'!E11</f>
        <v>9485.9</v>
      </c>
      <c r="K48" s="77">
        <f>-'[4]Historical statement analysis'!F11</f>
        <v>9237</v>
      </c>
      <c r="L48" s="78">
        <f t="shared" ref="L48:Q48" si="24">L35*L44</f>
        <v>9527.0558102473224</v>
      </c>
      <c r="M48" s="78">
        <f t="shared" si="24"/>
        <v>9819.4192889839142</v>
      </c>
      <c r="N48" s="78">
        <f t="shared" si="24"/>
        <v>10128.574484866998</v>
      </c>
      <c r="O48" s="78">
        <f t="shared" si="24"/>
        <v>10439.562361074912</v>
      </c>
      <c r="P48" s="78">
        <f t="shared" si="24"/>
        <v>10760.22104828768</v>
      </c>
      <c r="Q48" s="78">
        <f t="shared" si="24"/>
        <v>11035.182979306101</v>
      </c>
    </row>
    <row r="49" spans="3:21" s="12" customFormat="1">
      <c r="D49" s="12" t="s">
        <v>249</v>
      </c>
      <c r="E49" s="45" t="s">
        <v>2</v>
      </c>
      <c r="F49" s="79">
        <f>'Financial Analysis'!C34</f>
        <v>10103.099999999999</v>
      </c>
      <c r="G49" s="79">
        <f>'Financial Analysis'!D34</f>
        <v>10570.800000000001</v>
      </c>
      <c r="H49" s="79">
        <f>'Financial Analysis'!E34</f>
        <v>10595.400000000001</v>
      </c>
      <c r="I49" s="79">
        <f>'Financial Analysis'!F34</f>
        <v>10652</v>
      </c>
      <c r="J49" s="79">
        <f>'Financial Analysis'!G34</f>
        <v>10852</v>
      </c>
      <c r="K49" s="79">
        <f>'Financial Analysis'!H34</f>
        <v>10581.6</v>
      </c>
      <c r="L49" s="80">
        <f>L46*L35</f>
        <v>10909.066992598013</v>
      </c>
      <c r="M49" s="80">
        <f>M46*M35</f>
        <v>11243.841222879728</v>
      </c>
      <c r="N49" s="80">
        <f t="shared" ref="N49:Q49" si="25">N46*N35</f>
        <v>11597.843005819926</v>
      </c>
      <c r="O49" s="81">
        <f t="shared" si="25"/>
        <v>11953.94332086047</v>
      </c>
      <c r="P49" s="81">
        <f t="shared" si="25"/>
        <v>12321.117311465212</v>
      </c>
      <c r="Q49" s="81">
        <f t="shared" si="25"/>
        <v>12635.965695440011</v>
      </c>
    </row>
    <row r="50" spans="3:21" s="12" customFormat="1">
      <c r="F50" s="45"/>
      <c r="G50" s="45"/>
      <c r="H50" s="45"/>
      <c r="I50" s="82"/>
      <c r="J50" s="82"/>
      <c r="K50" s="82"/>
      <c r="L50" s="82"/>
      <c r="M50" s="82"/>
      <c r="N50" s="82"/>
      <c r="O50" s="22"/>
      <c r="P50" s="22"/>
      <c r="Q50" s="83"/>
    </row>
    <row r="51" spans="3:21" s="12" customFormat="1">
      <c r="I51" s="22"/>
      <c r="J51" s="22"/>
      <c r="K51" s="22"/>
      <c r="L51" s="22"/>
      <c r="M51" s="22"/>
      <c r="N51" s="22"/>
      <c r="O51" s="22"/>
      <c r="P51" s="22"/>
      <c r="Q51" s="83"/>
    </row>
    <row r="52" spans="3:21" s="12" customFormat="1" ht="3.75" customHeight="1">
      <c r="I52" s="22"/>
      <c r="J52" s="22"/>
      <c r="K52" s="22"/>
      <c r="L52" s="84"/>
      <c r="M52" s="84"/>
      <c r="N52" s="84"/>
      <c r="O52" s="84"/>
      <c r="P52" s="84"/>
      <c r="Q52" s="83"/>
    </row>
    <row r="53" spans="3:21" s="12" customFormat="1" ht="35.25" customHeight="1">
      <c r="C53" s="285"/>
      <c r="D53" s="282" t="str">
        <f>D3</f>
        <v>Metro. Inc</v>
      </c>
      <c r="E53" s="282"/>
      <c r="F53" s="282"/>
      <c r="G53" s="282"/>
      <c r="H53" s="282"/>
      <c r="I53" s="282"/>
      <c r="J53" s="282"/>
      <c r="K53" s="282"/>
      <c r="L53" s="282"/>
      <c r="M53" s="282"/>
      <c r="N53" s="282"/>
      <c r="O53" s="282"/>
      <c r="P53" s="282"/>
      <c r="Q53" s="282"/>
    </row>
    <row r="54" spans="3:21" s="12" customFormat="1" ht="15" thickBot="1">
      <c r="C54" s="283"/>
      <c r="D54" s="283" t="s">
        <v>356</v>
      </c>
      <c r="E54" s="283"/>
      <c r="F54" s="283"/>
      <c r="G54" s="283"/>
      <c r="H54" s="283"/>
      <c r="I54" s="284"/>
      <c r="J54" s="284"/>
      <c r="K54" s="284"/>
      <c r="L54" s="284"/>
      <c r="M54" s="284"/>
      <c r="N54" s="284"/>
      <c r="O54" s="284"/>
      <c r="P54" s="284"/>
      <c r="Q54" s="284"/>
      <c r="U54" s="85"/>
    </row>
    <row r="55" spans="3:21" s="12" customFormat="1">
      <c r="C55" s="86" t="s">
        <v>281</v>
      </c>
      <c r="F55" s="22"/>
      <c r="G55" s="22"/>
      <c r="H55" s="22"/>
      <c r="I55" s="22"/>
      <c r="J55" s="22"/>
      <c r="K55" s="22"/>
      <c r="L55" s="22"/>
      <c r="M55" s="22"/>
      <c r="N55" s="83"/>
      <c r="R55" s="85"/>
    </row>
    <row r="56" spans="3:21" s="12" customFormat="1">
      <c r="F56" s="3"/>
      <c r="G56" s="3"/>
      <c r="H56" s="3"/>
      <c r="I56" s="63"/>
      <c r="J56" s="8"/>
      <c r="K56" s="8" t="s">
        <v>277</v>
      </c>
      <c r="M56" s="10"/>
      <c r="N56" s="21"/>
      <c r="R56" s="87"/>
    </row>
    <row r="57" spans="3:21" s="12" customFormat="1">
      <c r="F57" s="3"/>
      <c r="G57" s="3"/>
      <c r="H57" s="3"/>
      <c r="I57" s="3"/>
      <c r="J57" s="3"/>
      <c r="L57" s="13"/>
      <c r="M57" s="13"/>
      <c r="N57" s="14"/>
      <c r="R57" s="85"/>
    </row>
    <row r="58" spans="3:21" s="12" customFormat="1">
      <c r="F58" s="16">
        <v>2011</v>
      </c>
      <c r="G58" s="16">
        <v>2012</v>
      </c>
      <c r="H58" s="16">
        <v>2013</v>
      </c>
      <c r="I58" s="16" t="s">
        <v>268</v>
      </c>
      <c r="J58" s="16" t="s">
        <v>301</v>
      </c>
      <c r="K58" s="16" t="s">
        <v>300</v>
      </c>
      <c r="L58" s="88">
        <f>O42</f>
        <v>2017</v>
      </c>
      <c r="M58" s="88">
        <f>P42</f>
        <v>2018</v>
      </c>
      <c r="N58" s="17" t="s">
        <v>276</v>
      </c>
      <c r="R58" s="87"/>
    </row>
    <row r="59" spans="3:21" s="12" customFormat="1">
      <c r="C59" s="21"/>
      <c r="F59" s="22"/>
      <c r="G59" s="22"/>
      <c r="H59" s="22"/>
      <c r="I59" s="22"/>
      <c r="J59" s="22"/>
      <c r="K59" s="22"/>
      <c r="L59" s="22"/>
      <c r="M59" s="22"/>
      <c r="N59" s="89"/>
      <c r="R59" s="85"/>
    </row>
    <row r="60" spans="3:21" s="12" customFormat="1">
      <c r="D60" s="90" t="s">
        <v>232</v>
      </c>
      <c r="E60" s="91"/>
      <c r="F60" s="92"/>
      <c r="G60" s="92"/>
      <c r="H60" s="92"/>
      <c r="I60" s="92"/>
      <c r="J60" s="93"/>
      <c r="K60" s="93"/>
      <c r="L60" s="93"/>
      <c r="M60" s="93"/>
      <c r="N60" s="94"/>
      <c r="R60" s="87"/>
    </row>
    <row r="61" spans="3:21" s="12" customFormat="1">
      <c r="D61" s="90" t="s">
        <v>22</v>
      </c>
      <c r="E61" s="91" t="s">
        <v>2</v>
      </c>
      <c r="F61" s="38">
        <v>11396.4</v>
      </c>
      <c r="G61" s="38">
        <v>11674.9</v>
      </c>
      <c r="H61" s="38">
        <v>11402.8</v>
      </c>
      <c r="I61" s="96">
        <f t="shared" ref="I61:N61" si="26">L35</f>
        <v>11761.797296601631</v>
      </c>
      <c r="J61" s="96">
        <f t="shared" si="26"/>
        <v>12122.739862943103</v>
      </c>
      <c r="K61" s="96">
        <f t="shared" si="26"/>
        <v>12504.412944280244</v>
      </c>
      <c r="L61" s="96">
        <f t="shared" si="26"/>
        <v>12888.348593919643</v>
      </c>
      <c r="M61" s="96">
        <f t="shared" si="26"/>
        <v>13284.223516404541</v>
      </c>
      <c r="N61" s="96">
        <f t="shared" si="26"/>
        <v>13623.682690501359</v>
      </c>
      <c r="R61" s="85"/>
    </row>
    <row r="62" spans="3:21" s="12" customFormat="1">
      <c r="D62" s="90" t="s">
        <v>249</v>
      </c>
      <c r="F62" s="38"/>
      <c r="G62" s="38"/>
      <c r="H62" s="38"/>
      <c r="I62" s="97"/>
      <c r="J62" s="97"/>
      <c r="K62" s="97"/>
      <c r="L62" s="97"/>
      <c r="M62" s="97"/>
      <c r="N62" s="98"/>
      <c r="R62" s="87"/>
    </row>
    <row r="63" spans="3:21" s="12" customFormat="1" ht="9.75" customHeight="1">
      <c r="D63" s="99" t="s">
        <v>248</v>
      </c>
      <c r="E63" s="91" t="s">
        <v>2</v>
      </c>
      <c r="F63" s="38">
        <v>9333.6</v>
      </c>
      <c r="G63" s="38">
        <v>9485.9</v>
      </c>
      <c r="H63" s="38">
        <v>9237</v>
      </c>
      <c r="I63" s="48">
        <f t="shared" ref="I63:N63" si="27">L48</f>
        <v>9527.0558102473224</v>
      </c>
      <c r="J63" s="48">
        <f>M48</f>
        <v>9819.4192889839142</v>
      </c>
      <c r="K63" s="48">
        <f>N48</f>
        <v>10128.574484866998</v>
      </c>
      <c r="L63" s="48">
        <f t="shared" si="27"/>
        <v>10439.562361074912</v>
      </c>
      <c r="M63" s="48">
        <f t="shared" si="27"/>
        <v>10760.22104828768</v>
      </c>
      <c r="N63" s="48">
        <f t="shared" si="27"/>
        <v>11035.182979306101</v>
      </c>
      <c r="R63" s="85"/>
    </row>
    <row r="64" spans="3:21" s="12" customFormat="1" ht="9.75" customHeight="1">
      <c r="D64" s="99" t="s">
        <v>361</v>
      </c>
      <c r="E64" s="91" t="s">
        <v>2</v>
      </c>
      <c r="F64" s="38">
        <v>20.5</v>
      </c>
      <c r="G64" s="38">
        <v>0</v>
      </c>
      <c r="H64" s="38">
        <v>40</v>
      </c>
      <c r="I64" s="48">
        <v>0</v>
      </c>
      <c r="J64" s="48">
        <v>0</v>
      </c>
      <c r="K64" s="48">
        <v>0</v>
      </c>
      <c r="L64" s="48">
        <v>0</v>
      </c>
      <c r="M64" s="48">
        <v>0</v>
      </c>
      <c r="N64" s="48">
        <v>0</v>
      </c>
      <c r="R64" s="85"/>
    </row>
    <row r="65" spans="4:18" s="12" customFormat="1">
      <c r="D65" s="99" t="s">
        <v>247</v>
      </c>
      <c r="E65" s="91" t="s">
        <v>2</v>
      </c>
      <c r="F65" s="38">
        <v>1318.4</v>
      </c>
      <c r="G65" s="38">
        <v>1366.1</v>
      </c>
      <c r="H65" s="38">
        <v>1344.6</v>
      </c>
      <c r="I65" s="92">
        <f>L45*L35</f>
        <v>1382.0111823506916</v>
      </c>
      <c r="J65" s="92">
        <f>M45*M35</f>
        <v>1424.4219338958144</v>
      </c>
      <c r="K65" s="92">
        <f t="shared" ref="K65:N65" si="28">N45*N35</f>
        <v>1469.2685209529286</v>
      </c>
      <c r="L65" s="92">
        <f t="shared" si="28"/>
        <v>1514.3809597855579</v>
      </c>
      <c r="M65" s="92">
        <f t="shared" si="28"/>
        <v>1560.8962631775335</v>
      </c>
      <c r="N65" s="92">
        <f t="shared" si="28"/>
        <v>1600.7827161339096</v>
      </c>
      <c r="R65" s="3"/>
    </row>
    <row r="66" spans="4:18" s="12" customFormat="1">
      <c r="D66" s="100" t="s">
        <v>135</v>
      </c>
      <c r="F66" s="101">
        <f>F61-F63-F64-F65</f>
        <v>723.89999999999918</v>
      </c>
      <c r="G66" s="101">
        <f t="shared" ref="G66:N66" si="29">G61-G63-G64-G65</f>
        <v>822.90000000000009</v>
      </c>
      <c r="H66" s="101">
        <f t="shared" si="29"/>
        <v>781.19999999999936</v>
      </c>
      <c r="I66" s="101">
        <f t="shared" si="29"/>
        <v>852.73030400361745</v>
      </c>
      <c r="J66" s="101">
        <f>J61-J63-J64-J65</f>
        <v>878.89864006337416</v>
      </c>
      <c r="K66" s="101">
        <f t="shared" si="29"/>
        <v>906.56993846031719</v>
      </c>
      <c r="L66" s="101">
        <f t="shared" si="29"/>
        <v>934.40527305917385</v>
      </c>
      <c r="M66" s="101">
        <f t="shared" si="29"/>
        <v>963.10620493932811</v>
      </c>
      <c r="N66" s="101">
        <f t="shared" si="29"/>
        <v>987.71699506134837</v>
      </c>
    </row>
    <row r="67" spans="4:18" s="12" customFormat="1">
      <c r="D67" s="99" t="s">
        <v>245</v>
      </c>
      <c r="E67" s="19" t="s">
        <v>2</v>
      </c>
      <c r="F67" s="950">
        <v>179.3</v>
      </c>
      <c r="G67" s="950">
        <v>183.9</v>
      </c>
      <c r="H67" s="950">
        <v>179.6</v>
      </c>
      <c r="I67" s="102">
        <f>M242</f>
        <v>197.68541666666667</v>
      </c>
      <c r="J67" s="102">
        <f t="shared" ref="J67:M67" si="30">N242</f>
        <v>212.21839666666668</v>
      </c>
      <c r="K67" s="102">
        <f t="shared" si="30"/>
        <v>226.00137666666666</v>
      </c>
      <c r="L67" s="102">
        <f t="shared" si="30"/>
        <v>238.94668916666666</v>
      </c>
      <c r="M67" s="102">
        <f t="shared" si="30"/>
        <v>258.39200166666666</v>
      </c>
      <c r="N67" s="102">
        <f>I242</f>
        <v>174.29999999999998</v>
      </c>
    </row>
    <row r="68" spans="4:18" s="12" customFormat="1">
      <c r="D68" s="100" t="s">
        <v>244</v>
      </c>
      <c r="E68" s="91" t="s">
        <v>2</v>
      </c>
      <c r="F68" s="90">
        <f>F66-F67</f>
        <v>544.59999999999923</v>
      </c>
      <c r="G68" s="90">
        <f>G66-G67</f>
        <v>639.00000000000011</v>
      </c>
      <c r="H68" s="90">
        <f>H66-H67</f>
        <v>601.59999999999934</v>
      </c>
      <c r="I68" s="90">
        <f>I66-I67</f>
        <v>655.04488733695075</v>
      </c>
      <c r="J68" s="90">
        <f t="shared" ref="J68:M68" si="31">J66-J67</f>
        <v>666.68024339670751</v>
      </c>
      <c r="K68" s="90">
        <f t="shared" si="31"/>
        <v>680.56856179365059</v>
      </c>
      <c r="L68" s="90">
        <f t="shared" si="31"/>
        <v>695.45858389250725</v>
      </c>
      <c r="M68" s="90">
        <f t="shared" si="31"/>
        <v>704.71420327266151</v>
      </c>
      <c r="N68" s="90">
        <f t="shared" ref="N68" si="32">N66-N67</f>
        <v>813.41699506134842</v>
      </c>
    </row>
    <row r="69" spans="4:18" s="12" customFormat="1">
      <c r="D69" s="103" t="s">
        <v>243</v>
      </c>
      <c r="E69" s="19" t="s">
        <v>2</v>
      </c>
      <c r="F69" s="139">
        <v>41.5</v>
      </c>
      <c r="G69" s="139">
        <v>46.4</v>
      </c>
      <c r="H69" s="139">
        <v>41.1</v>
      </c>
      <c r="I69" s="104">
        <f ca="1">G403</f>
        <v>36.288821957113015</v>
      </c>
      <c r="J69" s="104">
        <f t="shared" ref="J69:N69" ca="1" si="33">H403</f>
        <v>29.598985564571535</v>
      </c>
      <c r="K69" s="104">
        <f t="shared" ca="1" si="33"/>
        <v>22.953330061734174</v>
      </c>
      <c r="L69" s="104">
        <f t="shared" ca="1" si="33"/>
        <v>20.883965557408494</v>
      </c>
      <c r="M69" s="104">
        <f t="shared" ca="1" si="33"/>
        <v>18.644470554649111</v>
      </c>
      <c r="N69" s="104">
        <f t="shared" ca="1" si="33"/>
        <v>16.367315708049997</v>
      </c>
    </row>
    <row r="70" spans="4:18" s="12" customFormat="1">
      <c r="D70" s="103" t="s">
        <v>242</v>
      </c>
      <c r="E70" s="19" t="s">
        <v>2</v>
      </c>
      <c r="F70" s="38">
        <v>42.4</v>
      </c>
      <c r="G70" s="38">
        <v>47.6</v>
      </c>
      <c r="H70" s="38">
        <v>50.8</v>
      </c>
      <c r="I70" s="95">
        <v>50.8</v>
      </c>
      <c r="J70" s="95">
        <v>50.8</v>
      </c>
      <c r="K70" s="95">
        <v>51.8</v>
      </c>
      <c r="L70" s="95">
        <v>45.8</v>
      </c>
      <c r="M70" s="95">
        <v>50.8</v>
      </c>
      <c r="N70" s="95">
        <v>50.8</v>
      </c>
      <c r="Q70" s="12">
        <f>F67/(SUM(F176:F181))</f>
        <v>5.1595637535610493E-2</v>
      </c>
    </row>
    <row r="71" spans="4:18" s="12" customFormat="1">
      <c r="D71" s="103" t="s">
        <v>241</v>
      </c>
      <c r="E71" s="19" t="s">
        <v>2</v>
      </c>
      <c r="F71" s="38">
        <v>0</v>
      </c>
      <c r="G71" s="38">
        <v>25</v>
      </c>
      <c r="H71" s="38">
        <v>0</v>
      </c>
      <c r="I71" s="55">
        <v>0</v>
      </c>
      <c r="J71" s="55">
        <v>0</v>
      </c>
      <c r="K71" s="55">
        <v>0</v>
      </c>
      <c r="L71" s="55">
        <v>0</v>
      </c>
      <c r="M71" s="55">
        <v>0</v>
      </c>
      <c r="N71" s="55">
        <v>0</v>
      </c>
      <c r="Q71" s="12">
        <f>1/Q70</f>
        <v>19.381483547127715</v>
      </c>
    </row>
    <row r="72" spans="4:18" s="12" customFormat="1">
      <c r="D72" s="103" t="s">
        <v>175</v>
      </c>
      <c r="E72" s="19" t="s">
        <v>2</v>
      </c>
      <c r="F72" s="38">
        <v>0</v>
      </c>
      <c r="G72" s="38">
        <v>0</v>
      </c>
      <c r="H72" s="38">
        <v>307.8</v>
      </c>
      <c r="I72" s="55">
        <v>0</v>
      </c>
      <c r="J72" s="55">
        <v>0</v>
      </c>
      <c r="K72" s="55">
        <v>0</v>
      </c>
      <c r="L72" s="55">
        <v>0</v>
      </c>
      <c r="M72" s="55">
        <v>0</v>
      </c>
      <c r="N72" s="55">
        <v>0</v>
      </c>
    </row>
    <row r="73" spans="4:18" s="12" customFormat="1">
      <c r="D73" s="105" t="s">
        <v>240</v>
      </c>
      <c r="E73" s="91" t="s">
        <v>2</v>
      </c>
      <c r="F73" s="106">
        <f>F68-F69+F70+F71+F72</f>
        <v>545.4999999999992</v>
      </c>
      <c r="G73" s="106">
        <f t="shared" ref="G73:N73" si="34">G68-G69+G70+G71+G72</f>
        <v>665.20000000000016</v>
      </c>
      <c r="H73" s="106">
        <f>H68-H69+H70+H71+H72</f>
        <v>919.09999999999923</v>
      </c>
      <c r="I73" s="106">
        <f t="shared" ca="1" si="34"/>
        <v>669.55606537983772</v>
      </c>
      <c r="J73" s="106">
        <f t="shared" ca="1" si="34"/>
        <v>687.88125783213593</v>
      </c>
      <c r="K73" s="106">
        <f t="shared" ca="1" si="34"/>
        <v>709.41523173191638</v>
      </c>
      <c r="L73" s="106">
        <f t="shared" ca="1" si="34"/>
        <v>720.37461833509872</v>
      </c>
      <c r="M73" s="106">
        <f ca="1">M68-M69+M70+M71+M72</f>
        <v>736.8697327180123</v>
      </c>
      <c r="N73" s="106">
        <f t="shared" ca="1" si="34"/>
        <v>847.84967935329837</v>
      </c>
    </row>
    <row r="74" spans="4:18" s="12" customFormat="1">
      <c r="D74" s="99" t="s">
        <v>239</v>
      </c>
      <c r="E74" s="91" t="s">
        <v>2</v>
      </c>
      <c r="F74" s="139">
        <v>152.80000000000001</v>
      </c>
      <c r="G74" s="139">
        <v>175</v>
      </c>
      <c r="H74" s="139">
        <v>203.7</v>
      </c>
      <c r="I74" s="107">
        <f ca="1">I73*Assumptions!$J$10</f>
        <v>174.08457699875783</v>
      </c>
      <c r="J74" s="107">
        <f ca="1">J73*Assumptions!$J$10</f>
        <v>178.84912703635536</v>
      </c>
      <c r="K74" s="107">
        <f ca="1">K73*Assumptions!$J$10</f>
        <v>184.44796025029825</v>
      </c>
      <c r="L74" s="107">
        <f ca="1">L73*Assumptions!$J$10</f>
        <v>187.29740076712568</v>
      </c>
      <c r="M74" s="107">
        <f ca="1">M73*Assumptions!$J$10</f>
        <v>191.58613050668322</v>
      </c>
      <c r="N74" s="107">
        <f ca="1">N73*Assumptions!$J$10</f>
        <v>220.44091663185759</v>
      </c>
    </row>
    <row r="75" spans="4:18" s="12" customFormat="1">
      <c r="D75" s="100" t="s">
        <v>364</v>
      </c>
      <c r="E75" s="91" t="s">
        <v>2</v>
      </c>
      <c r="F75" s="115">
        <f>F73-F74</f>
        <v>392.69999999999919</v>
      </c>
      <c r="G75" s="115">
        <f t="shared" ref="G75:N75" si="35">G73-G74</f>
        <v>490.20000000000016</v>
      </c>
      <c r="H75" s="115">
        <f t="shared" si="35"/>
        <v>715.39999999999918</v>
      </c>
      <c r="I75" s="108">
        <f t="shared" ca="1" si="35"/>
        <v>495.47148838107989</v>
      </c>
      <c r="J75" s="108">
        <f t="shared" ca="1" si="35"/>
        <v>509.03213079578057</v>
      </c>
      <c r="K75" s="108">
        <f t="shared" ca="1" si="35"/>
        <v>524.96727148161813</v>
      </c>
      <c r="L75" s="108">
        <f t="shared" ca="1" si="35"/>
        <v>533.07721756797309</v>
      </c>
      <c r="M75" s="108">
        <f t="shared" ca="1" si="35"/>
        <v>545.28360221132903</v>
      </c>
      <c r="N75" s="108">
        <f t="shared" ca="1" si="35"/>
        <v>627.40876272144078</v>
      </c>
    </row>
    <row r="76" spans="4:18" s="12" customFormat="1" ht="9" customHeight="1">
      <c r="D76" s="100"/>
      <c r="F76" s="38"/>
      <c r="G76" s="38"/>
      <c r="H76" s="38"/>
      <c r="I76" s="93"/>
      <c r="J76" s="93"/>
      <c r="K76" s="93"/>
      <c r="L76" s="93"/>
      <c r="M76" s="93"/>
      <c r="N76" s="109"/>
    </row>
    <row r="77" spans="4:18" s="12" customFormat="1">
      <c r="D77" s="100" t="s">
        <v>237</v>
      </c>
      <c r="E77" s="91" t="s">
        <v>2</v>
      </c>
      <c r="F77" s="38">
        <v>0</v>
      </c>
      <c r="G77" s="38">
        <v>0</v>
      </c>
      <c r="H77" s="38">
        <v>0</v>
      </c>
      <c r="I77" s="95">
        <v>0</v>
      </c>
      <c r="J77" s="95">
        <v>0</v>
      </c>
      <c r="K77" s="95">
        <v>0</v>
      </c>
      <c r="L77" s="95">
        <v>0</v>
      </c>
      <c r="M77" s="95">
        <v>0</v>
      </c>
      <c r="N77" s="95">
        <v>0</v>
      </c>
    </row>
    <row r="78" spans="4:18" s="12" customFormat="1">
      <c r="D78" s="100" t="s">
        <v>363</v>
      </c>
      <c r="E78" s="91" t="s">
        <v>2</v>
      </c>
      <c r="F78" s="115">
        <v>0</v>
      </c>
      <c r="G78" s="115">
        <v>-0.9</v>
      </c>
      <c r="H78" s="115">
        <v>6.2</v>
      </c>
      <c r="I78" s="110">
        <v>0</v>
      </c>
      <c r="J78" s="110">
        <v>0</v>
      </c>
      <c r="K78" s="110">
        <v>0</v>
      </c>
      <c r="L78" s="110">
        <v>0</v>
      </c>
      <c r="M78" s="110">
        <v>0</v>
      </c>
      <c r="N78" s="110">
        <v>0</v>
      </c>
    </row>
    <row r="79" spans="4:18" s="12" customFormat="1" ht="14" thickBot="1">
      <c r="D79" s="111" t="s">
        <v>362</v>
      </c>
      <c r="E79" s="91" t="s">
        <v>2</v>
      </c>
      <c r="F79" s="112">
        <f t="shared" ref="F79:N79" si="36">SUM(F75:F78)</f>
        <v>392.69999999999919</v>
      </c>
      <c r="G79" s="112">
        <f t="shared" si="36"/>
        <v>489.30000000000018</v>
      </c>
      <c r="H79" s="112">
        <f t="shared" si="36"/>
        <v>721.59999999999923</v>
      </c>
      <c r="I79" s="112">
        <f t="shared" ca="1" si="36"/>
        <v>495.47148838107989</v>
      </c>
      <c r="J79" s="112">
        <f t="shared" ca="1" si="36"/>
        <v>509.03213079578057</v>
      </c>
      <c r="K79" s="112">
        <f ca="1">SUM(K75:K78)</f>
        <v>524.96727148161813</v>
      </c>
      <c r="L79" s="112">
        <f t="shared" ca="1" si="36"/>
        <v>533.07721756797309</v>
      </c>
      <c r="M79" s="112">
        <f t="shared" ca="1" si="36"/>
        <v>545.28360221132903</v>
      </c>
      <c r="N79" s="112">
        <f t="shared" ca="1" si="36"/>
        <v>627.40876272144078</v>
      </c>
    </row>
    <row r="80" spans="4:18" s="12" customFormat="1" ht="14" thickTop="1">
      <c r="D80" s="111" t="s">
        <v>234</v>
      </c>
      <c r="N80" s="113"/>
    </row>
    <row r="81" spans="3:20" s="12" customFormat="1">
      <c r="D81" s="100" t="s">
        <v>233</v>
      </c>
      <c r="N81" s="113"/>
    </row>
    <row r="82" spans="3:20" s="12" customFormat="1">
      <c r="D82" s="99" t="s">
        <v>231</v>
      </c>
      <c r="E82" s="114" t="s">
        <v>307</v>
      </c>
      <c r="F82" s="95">
        <v>3.81</v>
      </c>
      <c r="G82" s="95">
        <v>4.87</v>
      </c>
      <c r="H82" s="95">
        <v>7.52</v>
      </c>
      <c r="I82" s="38">
        <f t="shared" ref="I82:N82" ca="1" si="37">I79/90.759</f>
        <v>5.4591995105838524</v>
      </c>
      <c r="J82" s="38">
        <f t="shared" ca="1" si="37"/>
        <v>5.6086132592445992</v>
      </c>
      <c r="K82" s="38">
        <f t="shared" ca="1" si="37"/>
        <v>5.7841896834652005</v>
      </c>
      <c r="L82" s="38">
        <f t="shared" ca="1" si="37"/>
        <v>5.8735466187152028</v>
      </c>
      <c r="M82" s="38">
        <f t="shared" ca="1" si="37"/>
        <v>6.0080388965428115</v>
      </c>
      <c r="N82" s="38">
        <f t="shared" ca="1" si="37"/>
        <v>6.9129096036915429</v>
      </c>
    </row>
    <row r="83" spans="3:20" s="12" customFormat="1">
      <c r="D83" s="99" t="s">
        <v>230</v>
      </c>
      <c r="E83" s="114" t="s">
        <v>711</v>
      </c>
      <c r="F83" s="108">
        <v>3.79</v>
      </c>
      <c r="G83" s="108">
        <v>4.84</v>
      </c>
      <c r="H83" s="108">
        <v>7.46</v>
      </c>
      <c r="I83" s="115">
        <f t="shared" ref="I83:N83" ca="1" si="38">I79/96.73</f>
        <v>5.122211189714462</v>
      </c>
      <c r="J83" s="115">
        <f t="shared" ca="1" si="38"/>
        <v>5.2624018484005015</v>
      </c>
      <c r="K83" s="115">
        <f t="shared" ca="1" si="38"/>
        <v>5.4271401993344162</v>
      </c>
      <c r="L83" s="115">
        <f t="shared" ca="1" si="38"/>
        <v>5.5109812629791488</v>
      </c>
      <c r="M83" s="115">
        <f t="shared" ca="1" si="38"/>
        <v>5.6371715311829735</v>
      </c>
      <c r="N83" s="115">
        <f t="shared" ca="1" si="38"/>
        <v>6.4861859063521221</v>
      </c>
    </row>
    <row r="84" spans="3:20" s="12" customFormat="1">
      <c r="D84" s="99" t="s">
        <v>710</v>
      </c>
      <c r="E84" s="12" t="s">
        <v>712</v>
      </c>
      <c r="F84" s="95"/>
      <c r="G84" s="95">
        <v>99.6</v>
      </c>
      <c r="H84" s="95">
        <v>95.5</v>
      </c>
      <c r="I84" s="1058">
        <f>H84-(-I140/100)</f>
        <v>93.434347855659865</v>
      </c>
      <c r="J84" s="1058">
        <f t="shared" ref="J84:N84" si="39">I84-(-J140/100)</f>
        <v>93.434347855659865</v>
      </c>
      <c r="K84" s="1058">
        <f t="shared" si="39"/>
        <v>91.400595191665587</v>
      </c>
      <c r="L84" s="1058">
        <f t="shared" si="39"/>
        <v>89.353597581582733</v>
      </c>
      <c r="M84" s="1058">
        <f t="shared" si="39"/>
        <v>87.247702627320763</v>
      </c>
      <c r="N84" s="1058">
        <f t="shared" si="39"/>
        <v>85.037702627320769</v>
      </c>
    </row>
    <row r="85" spans="3:20" s="12" customFormat="1">
      <c r="D85" s="115" t="s">
        <v>229</v>
      </c>
      <c r="E85" s="114" t="s">
        <v>307</v>
      </c>
      <c r="F85" s="115">
        <v>0.74750000000000005</v>
      </c>
      <c r="G85" s="115">
        <v>0.83750000000000002</v>
      </c>
      <c r="H85" s="115">
        <v>0.96499999999999997</v>
      </c>
      <c r="I85" s="116">
        <v>0.97</v>
      </c>
      <c r="J85" s="116">
        <v>0.97</v>
      </c>
      <c r="K85" s="116">
        <v>0.97</v>
      </c>
      <c r="L85" s="116">
        <v>0.97</v>
      </c>
      <c r="M85" s="116">
        <v>0.97</v>
      </c>
      <c r="N85" s="116">
        <v>0.97</v>
      </c>
      <c r="O85" s="12">
        <f ca="1">I79*0.4</f>
        <v>198.18859535243197</v>
      </c>
      <c r="P85" s="12">
        <f t="shared" ref="P85:T85" ca="1" si="40">J79*0.4</f>
        <v>203.61285231831224</v>
      </c>
      <c r="Q85" s="12">
        <f t="shared" ca="1" si="40"/>
        <v>209.98690859264727</v>
      </c>
      <c r="R85" s="12">
        <f t="shared" ca="1" si="40"/>
        <v>213.23088702718925</v>
      </c>
      <c r="S85" s="12">
        <f t="shared" ca="1" si="40"/>
        <v>218.11344088453163</v>
      </c>
      <c r="T85" s="12">
        <f t="shared" ca="1" si="40"/>
        <v>250.96350508857631</v>
      </c>
    </row>
    <row r="86" spans="3:20" s="12" customFormat="1">
      <c r="C86" s="117" t="s">
        <v>306</v>
      </c>
      <c r="D86" s="118"/>
      <c r="E86" s="118"/>
      <c r="F86" s="119"/>
      <c r="G86" s="119"/>
      <c r="H86" s="119"/>
      <c r="I86" s="119"/>
      <c r="J86" s="119"/>
      <c r="K86" s="119"/>
      <c r="L86" s="119"/>
      <c r="M86" s="119"/>
      <c r="N86" s="120"/>
    </row>
    <row r="87" spans="3:20" s="12" customFormat="1">
      <c r="C87" s="121"/>
      <c r="D87" s="122" t="s">
        <v>305</v>
      </c>
      <c r="E87" s="122"/>
      <c r="F87" s="123">
        <f t="shared" ref="F87:N87" si="41">F66/F61</f>
        <v>6.3520058965989196E-2</v>
      </c>
      <c r="G87" s="123">
        <f t="shared" si="41"/>
        <v>7.0484543764828836E-2</v>
      </c>
      <c r="H87" s="123">
        <f t="shared" si="41"/>
        <v>6.8509488897463736E-2</v>
      </c>
      <c r="I87" s="123">
        <f t="shared" si="41"/>
        <v>7.2499999999999926E-2</v>
      </c>
      <c r="J87" s="123">
        <f t="shared" si="41"/>
        <v>7.2499999999999939E-2</v>
      </c>
      <c r="K87" s="123">
        <f t="shared" si="41"/>
        <v>7.2499999999999953E-2</v>
      </c>
      <c r="L87" s="123">
        <f t="shared" si="41"/>
        <v>7.2499999999999981E-2</v>
      </c>
      <c r="M87" s="123">
        <f t="shared" si="41"/>
        <v>7.2499999999999912E-2</v>
      </c>
      <c r="N87" s="123">
        <f t="shared" si="41"/>
        <v>7.2499999999999995E-2</v>
      </c>
    </row>
    <row r="88" spans="3:20" s="12" customFormat="1">
      <c r="C88" s="121"/>
      <c r="D88" s="122" t="s">
        <v>304</v>
      </c>
      <c r="E88" s="122"/>
      <c r="F88" s="123">
        <f t="shared" ref="F88:N88" si="42">F73/F61</f>
        <v>4.7865992769646488E-2</v>
      </c>
      <c r="G88" s="123">
        <f t="shared" si="42"/>
        <v>5.6976933421271289E-2</v>
      </c>
      <c r="H88" s="123">
        <f t="shared" si="42"/>
        <v>8.0603009787069774E-2</v>
      </c>
      <c r="I88" s="123">
        <f t="shared" ca="1" si="42"/>
        <v>5.692633944416764E-2</v>
      </c>
      <c r="J88" s="123">
        <f t="shared" ca="1" si="42"/>
        <v>5.6743051951057479E-2</v>
      </c>
      <c r="K88" s="123">
        <f t="shared" ca="1" si="42"/>
        <v>5.6733189706152209E-2</v>
      </c>
      <c r="L88" s="123">
        <f t="shared" ca="1" si="42"/>
        <v>5.5893477204282865E-2</v>
      </c>
      <c r="M88" s="123">
        <f t="shared" ca="1" si="42"/>
        <v>5.5469537365737634E-2</v>
      </c>
      <c r="N88" s="123">
        <f t="shared" ca="1" si="42"/>
        <v>6.2233516341688742E-2</v>
      </c>
    </row>
    <row r="89" spans="3:20" s="12" customFormat="1">
      <c r="C89" s="124"/>
      <c r="D89" s="125" t="s">
        <v>357</v>
      </c>
      <c r="E89" s="125"/>
      <c r="F89" s="126" t="str">
        <f>'[5]Historical statement analysis'!D184</f>
        <v>n/a</v>
      </c>
      <c r="G89" s="127">
        <f>'[4]Historical statement analysis'!E184</f>
        <v>0.1588463716527786</v>
      </c>
      <c r="H89" s="127">
        <f>'[4]Historical statement analysis'!F184</f>
        <v>0.18283045305931814</v>
      </c>
      <c r="I89" s="126"/>
      <c r="J89" s="126"/>
      <c r="K89" s="126"/>
      <c r="L89" s="126"/>
      <c r="M89" s="126"/>
      <c r="N89" s="128"/>
    </row>
    <row r="90" spans="3:20" s="12" customFormat="1">
      <c r="C90" s="122"/>
      <c r="D90" s="122"/>
      <c r="E90" s="122"/>
      <c r="F90" s="122"/>
      <c r="G90" s="122"/>
      <c r="H90" s="122"/>
      <c r="I90" s="41"/>
      <c r="J90" s="123"/>
      <c r="K90" s="123"/>
      <c r="L90" s="41"/>
      <c r="M90" s="41"/>
      <c r="N90" s="41"/>
      <c r="O90" s="41"/>
      <c r="P90" s="41"/>
      <c r="Q90" s="41"/>
    </row>
    <row r="91" spans="3:20" s="12" customFormat="1">
      <c r="C91" s="122"/>
      <c r="D91" s="286"/>
      <c r="E91" s="286"/>
      <c r="F91" s="286"/>
      <c r="G91" s="286"/>
      <c r="H91" s="286"/>
      <c r="I91" s="287"/>
      <c r="J91" s="288"/>
      <c r="K91" s="288"/>
      <c r="L91" s="287"/>
      <c r="M91" s="287"/>
      <c r="N91" s="287"/>
      <c r="O91" s="287"/>
      <c r="P91" s="287"/>
      <c r="Q91" s="287"/>
    </row>
    <row r="92" spans="3:20" s="12" customFormat="1" ht="19">
      <c r="D92" s="282" t="s">
        <v>253</v>
      </c>
      <c r="E92" s="282"/>
      <c r="F92" s="282"/>
      <c r="G92" s="282"/>
      <c r="H92" s="282"/>
      <c r="I92" s="282"/>
      <c r="J92" s="282"/>
      <c r="K92" s="282"/>
      <c r="L92" s="282"/>
      <c r="M92" s="282"/>
      <c r="N92" s="282"/>
      <c r="O92" s="282"/>
      <c r="P92" s="282"/>
      <c r="Q92" s="282"/>
      <c r="R92" s="7"/>
      <c r="S92" s="7"/>
      <c r="T92" s="129"/>
    </row>
    <row r="93" spans="3:20" s="12" customFormat="1" ht="14">
      <c r="C93" s="130"/>
      <c r="D93" s="289" t="s">
        <v>358</v>
      </c>
      <c r="E93" s="289"/>
      <c r="F93" s="289"/>
      <c r="G93" s="289"/>
      <c r="H93" s="289"/>
      <c r="I93" s="290"/>
      <c r="J93" s="290"/>
      <c r="K93" s="290"/>
      <c r="L93" s="290"/>
      <c r="M93" s="290"/>
      <c r="N93" s="290"/>
      <c r="O93" s="290"/>
      <c r="P93" s="290"/>
      <c r="Q93" s="290"/>
      <c r="R93" s="131"/>
      <c r="S93" s="131"/>
      <c r="T93" s="131"/>
    </row>
    <row r="94" spans="3:20" s="12" customFormat="1">
      <c r="E94" s="22"/>
      <c r="F94" s="22"/>
      <c r="H94" s="132"/>
      <c r="I94" s="21"/>
      <c r="J94" s="21"/>
      <c r="K94" s="21"/>
      <c r="L94" s="132"/>
      <c r="M94" s="21"/>
      <c r="N94" s="132"/>
      <c r="O94" s="21"/>
      <c r="P94" s="21"/>
      <c r="Q94" s="58"/>
    </row>
    <row r="95" spans="3:20" s="12" customFormat="1">
      <c r="E95" s="22"/>
      <c r="I95" s="8"/>
      <c r="J95" s="8"/>
      <c r="K95" s="10" t="s">
        <v>277</v>
      </c>
      <c r="L95" s="10"/>
      <c r="M95" s="10"/>
      <c r="N95" s="10"/>
      <c r="O95" s="133"/>
      <c r="P95" s="133"/>
      <c r="Q95" s="21"/>
    </row>
    <row r="96" spans="3:20" s="12" customFormat="1">
      <c r="E96" s="22"/>
      <c r="F96" s="134"/>
      <c r="N96" s="14"/>
    </row>
    <row r="97" spans="4:17" s="12" customFormat="1">
      <c r="E97" s="22"/>
      <c r="F97" s="135" t="s">
        <v>65</v>
      </c>
      <c r="G97" s="16" t="s">
        <v>64</v>
      </c>
      <c r="H97" s="16" t="s">
        <v>63</v>
      </c>
      <c r="I97" s="16" t="s">
        <v>268</v>
      </c>
      <c r="J97" s="16" t="s">
        <v>301</v>
      </c>
      <c r="K97" s="16" t="s">
        <v>300</v>
      </c>
      <c r="L97" s="88" t="s">
        <v>299</v>
      </c>
      <c r="M97" s="88" t="s">
        <v>298</v>
      </c>
      <c r="N97" s="136" t="s">
        <v>303</v>
      </c>
      <c r="O97" s="88"/>
      <c r="P97" s="88"/>
      <c r="Q97" s="137"/>
    </row>
    <row r="98" spans="4:17" s="38" customFormat="1">
      <c r="D98" s="138" t="s">
        <v>186</v>
      </c>
      <c r="E98" s="139"/>
      <c r="F98" s="140"/>
      <c r="G98" s="141"/>
      <c r="H98" s="141"/>
      <c r="I98" s="141"/>
      <c r="J98" s="141"/>
      <c r="K98" s="139"/>
      <c r="L98" s="139"/>
      <c r="M98" s="139"/>
      <c r="N98" s="142"/>
    </row>
    <row r="99" spans="4:17" s="38" customFormat="1">
      <c r="D99" s="143" t="s">
        <v>185</v>
      </c>
      <c r="F99" s="144">
        <v>545.5</v>
      </c>
      <c r="G99" s="90">
        <v>665.2</v>
      </c>
      <c r="H99" s="90">
        <v>919.1</v>
      </c>
      <c r="I99" s="90">
        <f ca="1">I73</f>
        <v>669.55606537983772</v>
      </c>
      <c r="J99" s="90">
        <f ca="1">J73</f>
        <v>687.88125783213593</v>
      </c>
      <c r="K99" s="90">
        <f t="shared" ref="K99:N99" ca="1" si="43">K73</f>
        <v>709.41523173191638</v>
      </c>
      <c r="L99" s="90">
        <f t="shared" ca="1" si="43"/>
        <v>720.37461833509872</v>
      </c>
      <c r="M99" s="90">
        <f t="shared" ca="1" si="43"/>
        <v>736.8697327180123</v>
      </c>
      <c r="N99" s="90">
        <f t="shared" ca="1" si="43"/>
        <v>847.84967935329837</v>
      </c>
    </row>
    <row r="100" spans="4:17" s="38" customFormat="1">
      <c r="D100" s="145" t="s">
        <v>184</v>
      </c>
      <c r="F100" s="146">
        <v>0</v>
      </c>
      <c r="G100" s="147">
        <v>-1.2</v>
      </c>
      <c r="H100" s="147">
        <v>8.5</v>
      </c>
      <c r="I100" s="38">
        <v>3.7</v>
      </c>
      <c r="J100" s="38">
        <v>3.7</v>
      </c>
      <c r="K100" s="38">
        <v>3.7</v>
      </c>
      <c r="L100" s="38">
        <v>3.7</v>
      </c>
      <c r="M100" s="38">
        <v>3.7</v>
      </c>
      <c r="N100" s="38">
        <v>3.7</v>
      </c>
    </row>
    <row r="101" spans="4:17" s="148" customFormat="1">
      <c r="D101" s="145"/>
      <c r="E101" s="38"/>
      <c r="F101" s="146">
        <f>SUM(F99:F100)</f>
        <v>545.5</v>
      </c>
      <c r="G101" s="147">
        <f>SUM(G99:G100)</f>
        <v>664</v>
      </c>
      <c r="H101" s="147">
        <f>SUM(H99:H100)</f>
        <v>927.6</v>
      </c>
      <c r="I101" s="38">
        <f t="shared" ref="I101:N101" ca="1" si="44">I99+I100</f>
        <v>673.25606537983776</v>
      </c>
      <c r="J101" s="38">
        <f t="shared" ca="1" si="44"/>
        <v>691.58125783213598</v>
      </c>
      <c r="K101" s="38">
        <f t="shared" ca="1" si="44"/>
        <v>713.11523173191642</v>
      </c>
      <c r="L101" s="38">
        <f t="shared" ca="1" si="44"/>
        <v>724.07461833509876</v>
      </c>
      <c r="M101" s="38">
        <f t="shared" ca="1" si="44"/>
        <v>740.56973271801235</v>
      </c>
      <c r="N101" s="38">
        <f t="shared" ca="1" si="44"/>
        <v>851.54967935329842</v>
      </c>
      <c r="O101" s="38"/>
      <c r="P101" s="38"/>
      <c r="Q101" s="38"/>
    </row>
    <row r="102" spans="4:17" s="148" customFormat="1">
      <c r="D102" s="145" t="s">
        <v>183</v>
      </c>
      <c r="E102" s="38"/>
      <c r="F102" s="146"/>
      <c r="G102" s="147"/>
      <c r="H102" s="147"/>
      <c r="I102" s="147"/>
      <c r="J102" s="147"/>
      <c r="K102" s="38"/>
      <c r="L102" s="38"/>
      <c r="M102" s="38"/>
      <c r="N102" s="149"/>
      <c r="O102" s="38"/>
      <c r="P102" s="38"/>
      <c r="Q102" s="38"/>
    </row>
    <row r="103" spans="4:17" s="148" customFormat="1">
      <c r="D103" s="143" t="s">
        <v>182</v>
      </c>
      <c r="E103" s="38"/>
      <c r="F103" s="146">
        <v>-42.4</v>
      </c>
      <c r="G103" s="147">
        <v>-47.6</v>
      </c>
      <c r="H103" s="147">
        <v>-50.8</v>
      </c>
      <c r="I103" s="147">
        <f t="shared" ref="I103:N103" si="45">SUM(F103:H103)/3</f>
        <v>-46.933333333333337</v>
      </c>
      <c r="J103" s="147">
        <f t="shared" si="45"/>
        <v>-48.44444444444445</v>
      </c>
      <c r="K103" s="147">
        <f t="shared" si="45"/>
        <v>-48.725925925925928</v>
      </c>
      <c r="L103" s="147">
        <f t="shared" si="45"/>
        <v>-48.034567901234574</v>
      </c>
      <c r="M103" s="147">
        <f t="shared" si="45"/>
        <v>-48.401646090534989</v>
      </c>
      <c r="N103" s="147">
        <f t="shared" si="45"/>
        <v>-48.387379972565164</v>
      </c>
      <c r="O103" s="38"/>
      <c r="P103" s="38"/>
      <c r="Q103" s="38"/>
    </row>
    <row r="104" spans="4:17" s="148" customFormat="1">
      <c r="D104" s="143" t="s">
        <v>181</v>
      </c>
      <c r="E104" s="38"/>
      <c r="F104" s="146">
        <v>0</v>
      </c>
      <c r="G104" s="147">
        <v>-25</v>
      </c>
      <c r="H104" s="147">
        <v>0</v>
      </c>
      <c r="I104" s="147">
        <v>0</v>
      </c>
      <c r="J104" s="147">
        <v>0</v>
      </c>
      <c r="K104" s="147">
        <v>0</v>
      </c>
      <c r="L104" s="147">
        <v>0</v>
      </c>
      <c r="M104" s="147">
        <v>0</v>
      </c>
      <c r="N104" s="147">
        <v>0</v>
      </c>
      <c r="O104" s="38"/>
      <c r="P104" s="38"/>
      <c r="Q104" s="38"/>
    </row>
    <row r="105" spans="4:17" s="148" customFormat="1">
      <c r="D105" s="143" t="s">
        <v>180</v>
      </c>
      <c r="E105" s="38"/>
      <c r="F105" s="146">
        <v>0</v>
      </c>
      <c r="G105" s="147">
        <v>0</v>
      </c>
      <c r="H105" s="147">
        <v>40</v>
      </c>
      <c r="I105" s="147">
        <v>0</v>
      </c>
      <c r="J105" s="147">
        <v>0</v>
      </c>
      <c r="K105" s="147">
        <v>0</v>
      </c>
      <c r="L105" s="147">
        <v>0</v>
      </c>
      <c r="M105" s="147">
        <v>0</v>
      </c>
      <c r="N105" s="147">
        <v>0</v>
      </c>
      <c r="O105" s="38"/>
      <c r="P105" s="38"/>
      <c r="Q105" s="38"/>
    </row>
    <row r="106" spans="4:17" s="148" customFormat="1">
      <c r="D106" s="143" t="s">
        <v>179</v>
      </c>
      <c r="E106" s="38"/>
      <c r="F106" s="146">
        <v>8.9</v>
      </c>
      <c r="G106" s="147">
        <v>0</v>
      </c>
      <c r="H106" s="147">
        <v>0</v>
      </c>
      <c r="I106" s="147">
        <v>0</v>
      </c>
      <c r="J106" s="147">
        <v>0</v>
      </c>
      <c r="K106" s="147">
        <v>0</v>
      </c>
      <c r="L106" s="147">
        <v>0</v>
      </c>
      <c r="M106" s="147">
        <v>0</v>
      </c>
      <c r="N106" s="147">
        <v>0</v>
      </c>
      <c r="O106" s="38"/>
      <c r="P106" s="38"/>
      <c r="Q106" s="38"/>
    </row>
    <row r="107" spans="4:17" s="148" customFormat="1">
      <c r="D107" s="143" t="s">
        <v>178</v>
      </c>
      <c r="E107" s="38"/>
      <c r="F107" s="146">
        <v>179.3</v>
      </c>
      <c r="G107" s="147">
        <v>183.9</v>
      </c>
      <c r="H107" s="147">
        <v>179.6</v>
      </c>
      <c r="I107" s="150">
        <f>M242</f>
        <v>197.68541666666667</v>
      </c>
      <c r="J107" s="150">
        <f t="shared" ref="J107:N107" si="46">N242</f>
        <v>212.21839666666668</v>
      </c>
      <c r="K107" s="150">
        <f t="shared" si="46"/>
        <v>226.00137666666666</v>
      </c>
      <c r="L107" s="150">
        <f t="shared" si="46"/>
        <v>238.94668916666666</v>
      </c>
      <c r="M107" s="150">
        <f t="shared" si="46"/>
        <v>258.39200166666666</v>
      </c>
      <c r="N107" s="150">
        <f t="shared" si="46"/>
        <v>0</v>
      </c>
      <c r="O107" s="38"/>
      <c r="P107" s="38"/>
      <c r="Q107" s="38"/>
    </row>
    <row r="108" spans="4:17" s="148" customFormat="1">
      <c r="D108" s="143" t="s">
        <v>177</v>
      </c>
      <c r="E108" s="38"/>
      <c r="F108" s="146">
        <v>0.4</v>
      </c>
      <c r="G108" s="147">
        <v>0.3</v>
      </c>
      <c r="H108" s="147">
        <v>0.8</v>
      </c>
      <c r="I108" s="147">
        <v>0</v>
      </c>
      <c r="J108" s="147">
        <v>0</v>
      </c>
      <c r="K108" s="147">
        <v>0</v>
      </c>
      <c r="L108" s="147">
        <v>0</v>
      </c>
      <c r="M108" s="147">
        <v>0</v>
      </c>
      <c r="N108" s="147">
        <v>0</v>
      </c>
      <c r="O108" s="38"/>
      <c r="P108" s="38"/>
      <c r="Q108" s="38"/>
    </row>
    <row r="109" spans="4:17" s="148" customFormat="1" ht="13.5" customHeight="1">
      <c r="D109" s="143" t="s">
        <v>176</v>
      </c>
      <c r="E109" s="38"/>
      <c r="F109" s="146">
        <v>10</v>
      </c>
      <c r="G109" s="147">
        <v>-5.4</v>
      </c>
      <c r="H109" s="147">
        <v>1.5</v>
      </c>
      <c r="I109" s="147">
        <v>0</v>
      </c>
      <c r="J109" s="147">
        <v>0</v>
      </c>
      <c r="K109" s="147">
        <v>0</v>
      </c>
      <c r="L109" s="147">
        <v>0</v>
      </c>
      <c r="M109" s="147">
        <v>0</v>
      </c>
      <c r="N109" s="147">
        <v>0</v>
      </c>
      <c r="O109" s="38"/>
      <c r="P109" s="38"/>
      <c r="Q109" s="38"/>
    </row>
    <row r="110" spans="4:17" s="148" customFormat="1">
      <c r="D110" s="143" t="s">
        <v>175</v>
      </c>
      <c r="E110" s="38"/>
      <c r="F110" s="146">
        <v>0</v>
      </c>
      <c r="G110" s="147">
        <v>0</v>
      </c>
      <c r="H110" s="147">
        <v>-307.8</v>
      </c>
      <c r="I110" s="147">
        <v>0</v>
      </c>
      <c r="J110" s="147">
        <v>0</v>
      </c>
      <c r="K110" s="147">
        <v>0</v>
      </c>
      <c r="L110" s="147">
        <v>0</v>
      </c>
      <c r="M110" s="147">
        <v>0</v>
      </c>
      <c r="N110" s="147">
        <v>0</v>
      </c>
      <c r="O110" s="38"/>
      <c r="P110" s="38"/>
      <c r="Q110" s="38"/>
    </row>
    <row r="111" spans="4:17" s="148" customFormat="1">
      <c r="D111" s="143" t="s">
        <v>174</v>
      </c>
      <c r="E111" s="38"/>
      <c r="F111" s="146">
        <v>0</v>
      </c>
      <c r="G111" s="147">
        <v>0</v>
      </c>
      <c r="H111" s="147">
        <v>-8.9</v>
      </c>
      <c r="I111" s="147">
        <v>0</v>
      </c>
      <c r="J111" s="147">
        <v>0</v>
      </c>
      <c r="K111" s="147">
        <v>0</v>
      </c>
      <c r="L111" s="147">
        <v>0</v>
      </c>
      <c r="M111" s="147">
        <v>0</v>
      </c>
      <c r="N111" s="147">
        <v>0</v>
      </c>
      <c r="O111" s="38"/>
      <c r="P111" s="38"/>
      <c r="Q111" s="38"/>
    </row>
    <row r="112" spans="4:17" s="148" customFormat="1">
      <c r="D112" s="143" t="s">
        <v>173</v>
      </c>
      <c r="E112" s="38"/>
      <c r="F112" s="146">
        <v>14.8</v>
      </c>
      <c r="G112" s="147">
        <v>10.3</v>
      </c>
      <c r="H112" s="147">
        <v>12.8</v>
      </c>
      <c r="I112" s="147">
        <v>0</v>
      </c>
      <c r="J112" s="147">
        <v>0</v>
      </c>
      <c r="K112" s="147">
        <v>0</v>
      </c>
      <c r="L112" s="147">
        <v>0</v>
      </c>
      <c r="M112" s="147">
        <v>0</v>
      </c>
      <c r="N112" s="147">
        <v>0</v>
      </c>
      <c r="O112" s="38"/>
      <c r="P112" s="38"/>
      <c r="Q112" s="38"/>
    </row>
    <row r="113" spans="4:17" s="148" customFormat="1">
      <c r="D113" s="143" t="s">
        <v>172</v>
      </c>
      <c r="E113" s="38"/>
      <c r="F113" s="143">
        <v>-5.5</v>
      </c>
      <c r="G113" s="147">
        <v>-10</v>
      </c>
      <c r="H113" s="147">
        <v>-7.6</v>
      </c>
      <c r="I113" s="147">
        <v>0</v>
      </c>
      <c r="J113" s="147">
        <v>0</v>
      </c>
      <c r="K113" s="147">
        <v>0</v>
      </c>
      <c r="L113" s="147">
        <v>0</v>
      </c>
      <c r="M113" s="147">
        <v>0</v>
      </c>
      <c r="N113" s="147">
        <v>0</v>
      </c>
      <c r="O113" s="38"/>
      <c r="P113" s="38"/>
      <c r="Q113" s="38"/>
    </row>
    <row r="114" spans="4:17" s="148" customFormat="1">
      <c r="D114" s="143" t="s">
        <v>171</v>
      </c>
      <c r="E114" s="38"/>
      <c r="F114" s="146">
        <v>6.3</v>
      </c>
      <c r="G114" s="147">
        <v>6.1</v>
      </c>
      <c r="H114" s="147">
        <v>5.7</v>
      </c>
      <c r="I114" s="147">
        <f t="shared" ref="I114:M116" si="47">SUM(F114:H114)/3</f>
        <v>6.0333333333333323</v>
      </c>
      <c r="J114" s="147">
        <f t="shared" si="47"/>
        <v>5.9444444444444438</v>
      </c>
      <c r="K114" s="147">
        <f t="shared" si="47"/>
        <v>5.8925925925925924</v>
      </c>
      <c r="L114" s="147">
        <f t="shared" si="47"/>
        <v>5.9567901234567886</v>
      </c>
      <c r="M114" s="147">
        <f t="shared" si="47"/>
        <v>5.9312757201646074</v>
      </c>
      <c r="N114" s="147">
        <v>0</v>
      </c>
      <c r="O114" s="38"/>
      <c r="P114" s="38"/>
      <c r="Q114" s="38"/>
    </row>
    <row r="115" spans="4:17" s="148" customFormat="1">
      <c r="D115" s="143" t="s">
        <v>170</v>
      </c>
      <c r="E115" s="38"/>
      <c r="F115" s="146">
        <v>-14.9</v>
      </c>
      <c r="G115" s="147">
        <v>-43.3</v>
      </c>
      <c r="H115" s="147">
        <v>-22.4</v>
      </c>
      <c r="I115" s="147">
        <f t="shared" si="47"/>
        <v>-26.866666666666664</v>
      </c>
      <c r="J115" s="147">
        <f t="shared" si="47"/>
        <v>-30.855555555555551</v>
      </c>
      <c r="K115" s="147">
        <f t="shared" si="47"/>
        <v>-26.707407407407405</v>
      </c>
      <c r="L115" s="147">
        <f t="shared" si="47"/>
        <v>-28.143209876543207</v>
      </c>
      <c r="M115" s="147">
        <f t="shared" si="47"/>
        <v>-28.56872427983539</v>
      </c>
      <c r="N115" s="147">
        <v>0</v>
      </c>
      <c r="O115" s="38"/>
      <c r="P115" s="38"/>
      <c r="Q115" s="38"/>
    </row>
    <row r="116" spans="4:17" s="148" customFormat="1" ht="14" thickBot="1">
      <c r="D116" s="151" t="s">
        <v>169</v>
      </c>
      <c r="E116" s="38"/>
      <c r="F116" s="152">
        <v>41.5</v>
      </c>
      <c r="G116" s="153">
        <v>46.4</v>
      </c>
      <c r="H116" s="153">
        <v>41.1</v>
      </c>
      <c r="I116" s="147">
        <f t="shared" si="47"/>
        <v>43</v>
      </c>
      <c r="J116" s="147">
        <f t="shared" si="47"/>
        <v>43.5</v>
      </c>
      <c r="K116" s="147">
        <f t="shared" si="47"/>
        <v>42.533333333333331</v>
      </c>
      <c r="L116" s="147">
        <f t="shared" si="47"/>
        <v>43.011111111111113</v>
      </c>
      <c r="M116" s="147">
        <f t="shared" si="47"/>
        <v>43.014814814814819</v>
      </c>
      <c r="N116" s="147">
        <v>0</v>
      </c>
      <c r="O116" s="38"/>
      <c r="P116" s="38"/>
      <c r="Q116" s="38"/>
    </row>
    <row r="117" spans="4:17" s="148" customFormat="1">
      <c r="D117" s="149"/>
      <c r="E117" s="38"/>
      <c r="F117" s="146">
        <f t="shared" ref="F117:N117" si="48">SUM(F103:F116,F101)</f>
        <v>743.90000000000009</v>
      </c>
      <c r="G117" s="146">
        <f t="shared" si="48"/>
        <v>779.7</v>
      </c>
      <c r="H117" s="146">
        <f t="shared" si="48"/>
        <v>811.6</v>
      </c>
      <c r="I117" s="146">
        <f ca="1">SUM(I103:I116,I101)</f>
        <v>846.17481537983781</v>
      </c>
      <c r="J117" s="146">
        <f t="shared" ca="1" si="48"/>
        <v>873.94409894324713</v>
      </c>
      <c r="K117" s="146">
        <f t="shared" ca="1" si="48"/>
        <v>912.10920099117561</v>
      </c>
      <c r="L117" s="146">
        <f t="shared" ca="1" si="48"/>
        <v>935.81143095855555</v>
      </c>
      <c r="M117" s="146">
        <f t="shared" ca="1" si="48"/>
        <v>970.93745454928808</v>
      </c>
      <c r="N117" s="146">
        <f t="shared" ca="1" si="48"/>
        <v>803.1622993807332</v>
      </c>
      <c r="O117" s="38"/>
      <c r="P117" s="38"/>
      <c r="Q117" s="38"/>
    </row>
    <row r="118" spans="4:17" s="148" customFormat="1">
      <c r="D118" s="149"/>
      <c r="E118" s="38"/>
      <c r="F118" s="143"/>
      <c r="G118" s="38"/>
      <c r="H118" s="38"/>
      <c r="I118" s="38"/>
      <c r="J118" s="38"/>
      <c r="K118" s="38"/>
      <c r="L118" s="38"/>
      <c r="M118" s="38"/>
      <c r="N118" s="149"/>
      <c r="O118" s="38"/>
      <c r="P118" s="38"/>
      <c r="Q118" s="38"/>
    </row>
    <row r="119" spans="4:17" s="148" customFormat="1">
      <c r="D119" s="149" t="s">
        <v>168</v>
      </c>
      <c r="E119" s="38"/>
      <c r="F119" s="146">
        <v>-7.1</v>
      </c>
      <c r="G119" s="147">
        <v>-44.4</v>
      </c>
      <c r="H119" s="147">
        <v>-68.900000000000006</v>
      </c>
      <c r="I119" s="147">
        <f>J271</f>
        <v>73.686941162704784</v>
      </c>
      <c r="J119" s="147">
        <f t="shared" ref="J119:N119" si="49">K271</f>
        <v>-8.9395090403741051E-2</v>
      </c>
      <c r="K119" s="147">
        <f t="shared" si="49"/>
        <v>-8.606773941278334E-2</v>
      </c>
      <c r="L119" s="147">
        <f t="shared" si="49"/>
        <v>-0.10355151888916225</v>
      </c>
      <c r="M119" s="147">
        <f t="shared" si="49"/>
        <v>-9.8046830116800265E-2</v>
      </c>
      <c r="N119" s="147">
        <f t="shared" si="49"/>
        <v>0</v>
      </c>
      <c r="O119" s="38"/>
      <c r="P119" s="38"/>
      <c r="Q119" s="38"/>
    </row>
    <row r="120" spans="4:17" s="148" customFormat="1">
      <c r="D120" s="149" t="s">
        <v>167</v>
      </c>
      <c r="E120" s="38"/>
      <c r="F120" s="146">
        <v>-45.1</v>
      </c>
      <c r="G120" s="147">
        <v>-48</v>
      </c>
      <c r="H120" s="147">
        <v>-42.5</v>
      </c>
      <c r="I120" s="150">
        <f ca="1">-I69</f>
        <v>-36.288821957113015</v>
      </c>
      <c r="J120" s="150">
        <f t="shared" ref="J120:N120" ca="1" si="50">-J69</f>
        <v>-29.598985564571535</v>
      </c>
      <c r="K120" s="150">
        <f t="shared" ca="1" si="50"/>
        <v>-22.953330061734174</v>
      </c>
      <c r="L120" s="150">
        <f t="shared" ca="1" si="50"/>
        <v>-20.883965557408494</v>
      </c>
      <c r="M120" s="150">
        <f t="shared" ca="1" si="50"/>
        <v>-18.644470554649111</v>
      </c>
      <c r="N120" s="150">
        <f t="shared" ca="1" si="50"/>
        <v>-16.367315708049997</v>
      </c>
      <c r="O120" s="38"/>
      <c r="P120" s="38"/>
      <c r="Q120" s="38"/>
    </row>
    <row r="121" spans="4:17" s="148" customFormat="1">
      <c r="D121" s="149" t="s">
        <v>166</v>
      </c>
      <c r="E121" s="38"/>
      <c r="F121" s="154">
        <v>-149.30000000000001</v>
      </c>
      <c r="G121" s="155">
        <v>-141.19999999999999</v>
      </c>
      <c r="H121" s="155">
        <v>-133.4</v>
      </c>
      <c r="I121" s="150">
        <f ca="1">-I74</f>
        <v>-174.08457699875783</v>
      </c>
      <c r="J121" s="150">
        <f t="shared" ref="J121:M121" ca="1" si="51">-J74</f>
        <v>-178.84912703635536</v>
      </c>
      <c r="K121" s="150">
        <f t="shared" ca="1" si="51"/>
        <v>-184.44796025029825</v>
      </c>
      <c r="L121" s="150">
        <f t="shared" ca="1" si="51"/>
        <v>-187.29740076712568</v>
      </c>
      <c r="M121" s="150">
        <f t="shared" ca="1" si="51"/>
        <v>-191.58613050668322</v>
      </c>
      <c r="N121" s="150">
        <f ca="1">-N74</f>
        <v>-220.44091663185759</v>
      </c>
      <c r="O121" s="38"/>
      <c r="P121" s="38"/>
      <c r="Q121" s="38"/>
    </row>
    <row r="122" spans="4:17" s="148" customFormat="1" ht="14" thickBot="1">
      <c r="D122" s="156" t="s">
        <v>165</v>
      </c>
      <c r="E122" s="38"/>
      <c r="F122" s="152">
        <f t="shared" ref="F122:M122" si="52">SUM(F117,F119:F121)</f>
        <v>542.40000000000009</v>
      </c>
      <c r="G122" s="153">
        <f t="shared" si="52"/>
        <v>546.10000000000014</v>
      </c>
      <c r="H122" s="153">
        <f t="shared" si="52"/>
        <v>566.80000000000007</v>
      </c>
      <c r="I122" s="152">
        <f t="shared" ca="1" si="52"/>
        <v>709.48835758667178</v>
      </c>
      <c r="J122" s="153">
        <f t="shared" ca="1" si="52"/>
        <v>665.40659125191655</v>
      </c>
      <c r="K122" s="153">
        <f t="shared" ca="1" si="52"/>
        <v>704.62184293973041</v>
      </c>
      <c r="L122" s="152">
        <f t="shared" ca="1" si="52"/>
        <v>727.52651311513227</v>
      </c>
      <c r="M122" s="153">
        <f t="shared" ca="1" si="52"/>
        <v>760.60880665783884</v>
      </c>
      <c r="N122" s="153">
        <f ca="1">SUM(N117,N119:N121)</f>
        <v>566.35406704082561</v>
      </c>
      <c r="O122" s="38"/>
      <c r="P122" s="38"/>
      <c r="Q122" s="38"/>
    </row>
    <row r="123" spans="4:17" s="148" customFormat="1">
      <c r="D123" s="156"/>
      <c r="E123" s="38"/>
      <c r="F123" s="143"/>
      <c r="G123" s="38"/>
      <c r="H123" s="38"/>
      <c r="I123" s="38"/>
      <c r="J123" s="38"/>
      <c r="K123" s="38"/>
      <c r="L123" s="38"/>
      <c r="M123" s="38"/>
      <c r="N123" s="149"/>
      <c r="O123" s="38"/>
      <c r="P123" s="38"/>
      <c r="Q123" s="38"/>
    </row>
    <row r="124" spans="4:17" s="148" customFormat="1">
      <c r="D124" s="157" t="s">
        <v>164</v>
      </c>
      <c r="E124" s="38"/>
      <c r="F124" s="143"/>
      <c r="G124" s="38"/>
      <c r="H124" s="38"/>
      <c r="I124" s="38"/>
      <c r="J124" s="38"/>
      <c r="K124" s="38"/>
      <c r="L124" s="38"/>
      <c r="M124" s="38"/>
      <c r="N124" s="149"/>
      <c r="O124" s="38"/>
      <c r="P124" s="38"/>
      <c r="Q124" s="38"/>
    </row>
    <row r="125" spans="4:17" s="148" customFormat="1">
      <c r="D125" s="149" t="s">
        <v>163</v>
      </c>
      <c r="E125" s="38"/>
      <c r="F125" s="146">
        <v>-74.2</v>
      </c>
      <c r="G125" s="147">
        <v>-146.80000000000001</v>
      </c>
      <c r="H125" s="147">
        <v>-11.6</v>
      </c>
      <c r="I125" s="147">
        <f>-40</f>
        <v>-40</v>
      </c>
      <c r="J125" s="147">
        <f t="shared" ref="J125:M125" si="53">-40</f>
        <v>-40</v>
      </c>
      <c r="K125" s="147">
        <f t="shared" si="53"/>
        <v>-40</v>
      </c>
      <c r="L125" s="147">
        <f t="shared" si="53"/>
        <v>-40</v>
      </c>
      <c r="M125" s="147">
        <f t="shared" si="53"/>
        <v>-40</v>
      </c>
      <c r="N125" s="147">
        <f>-10</f>
        <v>-10</v>
      </c>
      <c r="O125" s="38"/>
      <c r="P125" s="38"/>
      <c r="Q125" s="38"/>
    </row>
    <row r="126" spans="4:17" s="148" customFormat="1">
      <c r="D126" s="149" t="s">
        <v>162</v>
      </c>
      <c r="E126" s="38"/>
      <c r="F126" s="146">
        <v>0</v>
      </c>
      <c r="G126" s="147">
        <v>0</v>
      </c>
      <c r="H126" s="147">
        <v>22.7</v>
      </c>
      <c r="I126" s="147">
        <v>0</v>
      </c>
      <c r="J126" s="147">
        <v>0</v>
      </c>
      <c r="K126" s="147">
        <v>0</v>
      </c>
      <c r="L126" s="147">
        <v>0</v>
      </c>
      <c r="M126" s="147">
        <v>0</v>
      </c>
      <c r="N126" s="147">
        <v>0</v>
      </c>
      <c r="O126" s="38"/>
      <c r="P126" s="38"/>
      <c r="Q126" s="38"/>
    </row>
    <row r="127" spans="4:17" s="148" customFormat="1">
      <c r="D127" s="158" t="s">
        <v>161</v>
      </c>
      <c r="E127" s="38"/>
      <c r="F127" s="146">
        <v>0</v>
      </c>
      <c r="G127" s="147">
        <v>6.6</v>
      </c>
      <c r="H127" s="147">
        <v>0</v>
      </c>
      <c r="I127" s="147">
        <v>0</v>
      </c>
      <c r="J127" s="147">
        <v>0</v>
      </c>
      <c r="K127" s="147">
        <v>0</v>
      </c>
      <c r="L127" s="147">
        <v>0</v>
      </c>
      <c r="M127" s="147">
        <v>0</v>
      </c>
      <c r="N127" s="147">
        <v>0</v>
      </c>
      <c r="O127" s="38"/>
      <c r="P127" s="38"/>
      <c r="Q127" s="38"/>
    </row>
    <row r="128" spans="4:17" s="148" customFormat="1">
      <c r="D128" s="158" t="s">
        <v>160</v>
      </c>
      <c r="E128" s="38"/>
      <c r="F128" s="146">
        <v>0</v>
      </c>
      <c r="G128" s="147">
        <v>0</v>
      </c>
      <c r="H128" s="147">
        <v>472.6</v>
      </c>
      <c r="I128" s="147">
        <v>0</v>
      </c>
      <c r="J128" s="147">
        <v>0</v>
      </c>
      <c r="K128" s="147">
        <v>0</v>
      </c>
      <c r="L128" s="147">
        <v>0</v>
      </c>
      <c r="M128" s="147">
        <v>0</v>
      </c>
      <c r="N128" s="147">
        <v>0</v>
      </c>
      <c r="O128" s="38"/>
      <c r="P128" s="38"/>
      <c r="Q128" s="38"/>
    </row>
    <row r="129" spans="4:19" s="148" customFormat="1">
      <c r="D129" s="158" t="s">
        <v>159</v>
      </c>
      <c r="E129" s="38"/>
      <c r="F129" s="146">
        <v>5.4</v>
      </c>
      <c r="G129" s="147">
        <v>-4.5999999999999996</v>
      </c>
      <c r="H129" s="147">
        <v>0.6</v>
      </c>
      <c r="I129" s="147">
        <f t="shared" ref="I129" si="54">(H129+G129+F129)/3</f>
        <v>0.46666666666666695</v>
      </c>
      <c r="J129" s="147">
        <v>0</v>
      </c>
      <c r="K129" s="147">
        <v>0</v>
      </c>
      <c r="L129" s="147">
        <v>0</v>
      </c>
      <c r="M129" s="147">
        <v>0</v>
      </c>
      <c r="N129" s="147">
        <v>0</v>
      </c>
      <c r="O129" s="38"/>
      <c r="P129" s="38"/>
      <c r="Q129" s="38"/>
    </row>
    <row r="130" spans="4:19" s="148" customFormat="1">
      <c r="D130" s="158" t="s">
        <v>158</v>
      </c>
      <c r="E130" s="38"/>
      <c r="F130" s="146">
        <v>4.7</v>
      </c>
      <c r="G130" s="147">
        <v>6.2</v>
      </c>
      <c r="H130" s="147">
        <v>4.0999999999999996</v>
      </c>
      <c r="I130" s="147">
        <v>4.2</v>
      </c>
      <c r="J130" s="147">
        <v>4.3</v>
      </c>
      <c r="K130" s="147">
        <v>4.4000000000000004</v>
      </c>
      <c r="L130" s="147">
        <v>4.5</v>
      </c>
      <c r="M130" s="147">
        <v>4.5999999999999996</v>
      </c>
      <c r="N130" s="147">
        <v>4.5999999999999996</v>
      </c>
      <c r="O130" s="38"/>
      <c r="P130" s="38"/>
      <c r="Q130" s="38"/>
    </row>
    <row r="131" spans="4:19" s="148" customFormat="1">
      <c r="D131" s="158" t="s">
        <v>386</v>
      </c>
      <c r="E131" s="38"/>
      <c r="F131" s="146">
        <v>-148.1</v>
      </c>
      <c r="G131" s="147">
        <v>-210.5</v>
      </c>
      <c r="H131" s="147">
        <v>-208.4</v>
      </c>
      <c r="I131" s="147">
        <f>-Scenarios!I40</f>
        <v>-231.00000000000003</v>
      </c>
      <c r="J131" s="147">
        <f>-Scenarios!J40</f>
        <v>-234.05536000000004</v>
      </c>
      <c r="K131" s="147">
        <f>-Scenarios!K40</f>
        <v>-207</v>
      </c>
      <c r="L131" s="147">
        <f>-Scenarios!L40</f>
        <v>-207.25</v>
      </c>
      <c r="M131" s="147">
        <f>-Scenarios!M40</f>
        <v>-207.5</v>
      </c>
      <c r="N131" s="147">
        <f>-Scenarios!N40</f>
        <v>-174.29999999999998</v>
      </c>
      <c r="O131" s="38"/>
      <c r="P131" s="38"/>
      <c r="Q131" s="38"/>
    </row>
    <row r="132" spans="4:19" s="148" customFormat="1">
      <c r="D132" s="149" t="s">
        <v>156</v>
      </c>
      <c r="E132" s="38"/>
      <c r="F132" s="146">
        <v>2.6</v>
      </c>
      <c r="G132" s="147">
        <v>26.9</v>
      </c>
      <c r="H132" s="147">
        <v>1.2</v>
      </c>
      <c r="I132" s="147">
        <v>0</v>
      </c>
      <c r="J132" s="147">
        <v>0</v>
      </c>
      <c r="K132" s="147">
        <v>0</v>
      </c>
      <c r="L132" s="147">
        <v>0</v>
      </c>
      <c r="M132" s="147">
        <v>0</v>
      </c>
      <c r="N132" s="147">
        <v>0</v>
      </c>
      <c r="O132" s="38"/>
      <c r="P132" s="38"/>
      <c r="Q132" s="38"/>
    </row>
    <row r="133" spans="4:19" s="148" customFormat="1">
      <c r="D133" s="149" t="s">
        <v>155</v>
      </c>
      <c r="E133" s="38"/>
      <c r="F133" s="146">
        <v>2.8</v>
      </c>
      <c r="G133" s="147">
        <v>3.5</v>
      </c>
      <c r="H133" s="147">
        <v>2.5</v>
      </c>
      <c r="I133" s="147">
        <f t="shared" ref="I133:N134" si="55">(F133+G133+H133)/3</f>
        <v>2.9333333333333336</v>
      </c>
      <c r="J133" s="147">
        <f t="shared" si="55"/>
        <v>2.9777777777777779</v>
      </c>
      <c r="K133" s="147">
        <f t="shared" si="55"/>
        <v>2.8037037037037038</v>
      </c>
      <c r="L133" s="147">
        <f t="shared" si="55"/>
        <v>2.9049382716049386</v>
      </c>
      <c r="M133" s="147">
        <f t="shared" si="55"/>
        <v>2.895473251028807</v>
      </c>
      <c r="N133" s="147">
        <f t="shared" si="55"/>
        <v>2.86803840877915</v>
      </c>
      <c r="O133" s="38"/>
      <c r="P133" s="38"/>
      <c r="Q133" s="38"/>
    </row>
    <row r="134" spans="4:19" s="148" customFormat="1">
      <c r="D134" s="149" t="s">
        <v>154</v>
      </c>
      <c r="E134" s="38"/>
      <c r="F134" s="154">
        <v>-19.899999999999999</v>
      </c>
      <c r="G134" s="155">
        <v>-38.299999999999997</v>
      </c>
      <c r="H134" s="155">
        <v>-19.399999999999999</v>
      </c>
      <c r="I134" s="968">
        <f t="shared" si="55"/>
        <v>-25.866666666666664</v>
      </c>
      <c r="J134" s="968">
        <f t="shared" si="55"/>
        <v>-27.855555555555554</v>
      </c>
      <c r="K134" s="968">
        <f t="shared" si="55"/>
        <v>-24.374074074074073</v>
      </c>
      <c r="L134" s="968">
        <f t="shared" si="55"/>
        <v>-26.032098765432096</v>
      </c>
      <c r="M134" s="968">
        <f t="shared" si="55"/>
        <v>-26.087242798353909</v>
      </c>
      <c r="N134" s="968">
        <f t="shared" si="55"/>
        <v>-25.497805212620026</v>
      </c>
      <c r="O134" s="38"/>
      <c r="P134" s="38"/>
      <c r="Q134" s="38"/>
    </row>
    <row r="135" spans="4:19" s="148" customFormat="1" ht="14" thickBot="1">
      <c r="D135" s="156" t="s">
        <v>153</v>
      </c>
      <c r="E135" s="159"/>
      <c r="F135" s="160">
        <f t="shared" ref="F135:N135" si="56">SUM(F125:F134)</f>
        <v>-226.7</v>
      </c>
      <c r="G135" s="161">
        <f t="shared" si="56"/>
        <v>-357.00000000000006</v>
      </c>
      <c r="H135" s="161">
        <f t="shared" si="56"/>
        <v>264.30000000000013</v>
      </c>
      <c r="I135" s="160">
        <f t="shared" si="56"/>
        <v>-289.26666666666671</v>
      </c>
      <c r="J135" s="161">
        <f t="shared" si="56"/>
        <v>-294.63313777777785</v>
      </c>
      <c r="K135" s="161">
        <f t="shared" si="56"/>
        <v>-264.17037037037039</v>
      </c>
      <c r="L135" s="160">
        <f t="shared" si="56"/>
        <v>-265.87716049382715</v>
      </c>
      <c r="M135" s="161">
        <f t="shared" si="56"/>
        <v>-266.0917695473251</v>
      </c>
      <c r="N135" s="161">
        <f t="shared" si="56"/>
        <v>-202.32976680384087</v>
      </c>
      <c r="O135" s="38"/>
      <c r="Q135" s="38"/>
    </row>
    <row r="136" spans="4:19" s="148" customFormat="1">
      <c r="D136" s="162"/>
      <c r="E136" s="38"/>
      <c r="F136" s="143">
        <f>G140+G147</f>
        <v>-297.89999999999998</v>
      </c>
      <c r="G136" s="38">
        <f>489</f>
        <v>489</v>
      </c>
      <c r="H136" s="38">
        <f>F136/G136</f>
        <v>-0.60920245398772999</v>
      </c>
      <c r="I136" s="38"/>
      <c r="J136" s="38"/>
      <c r="K136" s="38"/>
      <c r="L136" s="38"/>
      <c r="M136" s="38"/>
      <c r="N136" s="149"/>
      <c r="P136" s="38"/>
      <c r="Q136" s="38"/>
    </row>
    <row r="137" spans="4:19" s="148" customFormat="1">
      <c r="D137" s="144" t="s">
        <v>152</v>
      </c>
      <c r="E137" s="38"/>
      <c r="F137" s="143"/>
      <c r="G137" s="38"/>
      <c r="H137" s="38"/>
      <c r="I137" s="38"/>
      <c r="J137" s="38"/>
      <c r="K137" s="38"/>
      <c r="L137" s="38"/>
      <c r="M137" s="38"/>
      <c r="N137" s="149"/>
      <c r="O137" s="38"/>
      <c r="P137" s="38"/>
      <c r="Q137" s="38"/>
    </row>
    <row r="138" spans="4:19" s="148" customFormat="1">
      <c r="D138" s="149" t="s">
        <v>151</v>
      </c>
      <c r="E138" s="38"/>
      <c r="F138" s="146">
        <v>-0.7</v>
      </c>
      <c r="G138" s="147">
        <v>-15.5</v>
      </c>
      <c r="H138" s="147">
        <v>1.7</v>
      </c>
      <c r="I138" s="147">
        <f t="shared" ref="I138:N141" si="57">SUM(F138:H138)/3</f>
        <v>-4.833333333333333</v>
      </c>
      <c r="J138" s="147">
        <f t="shared" si="57"/>
        <v>-6.2111111111111112</v>
      </c>
      <c r="K138" s="147">
        <f t="shared" si="57"/>
        <v>-3.1148148148148151</v>
      </c>
      <c r="L138" s="147">
        <f t="shared" si="57"/>
        <v>-4.719753086419753</v>
      </c>
      <c r="M138" s="147">
        <f t="shared" si="57"/>
        <v>-4.6818930041152269</v>
      </c>
      <c r="N138" s="147">
        <f t="shared" si="57"/>
        <v>-4.1721536351165982</v>
      </c>
      <c r="O138" s="38"/>
      <c r="P138" s="38"/>
      <c r="Q138" s="38"/>
    </row>
    <row r="139" spans="4:19" s="148" customFormat="1">
      <c r="D139" s="149" t="s">
        <v>150</v>
      </c>
      <c r="E139" s="38"/>
      <c r="F139" s="146">
        <v>7</v>
      </c>
      <c r="G139" s="147">
        <v>8.1</v>
      </c>
      <c r="H139" s="147">
        <v>13.9</v>
      </c>
      <c r="I139" s="147">
        <f t="shared" si="57"/>
        <v>9.6666666666666661</v>
      </c>
      <c r="J139" s="147">
        <f t="shared" si="57"/>
        <v>10.555555555555555</v>
      </c>
      <c r="K139" s="147">
        <f t="shared" si="57"/>
        <v>11.374074074074073</v>
      </c>
      <c r="L139" s="147">
        <f t="shared" si="57"/>
        <v>10.532098765432098</v>
      </c>
      <c r="M139" s="147">
        <f t="shared" si="57"/>
        <v>10.820576131687242</v>
      </c>
      <c r="N139" s="147">
        <f t="shared" si="57"/>
        <v>10.908916323731136</v>
      </c>
      <c r="O139" s="38"/>
      <c r="P139" s="38"/>
      <c r="Q139" s="38"/>
    </row>
    <row r="140" spans="4:19" s="148" customFormat="1">
      <c r="D140" s="149" t="s">
        <v>149</v>
      </c>
      <c r="E140" s="38"/>
      <c r="F140" s="146">
        <v>-188.3</v>
      </c>
      <c r="G140" s="147">
        <v>-215</v>
      </c>
      <c r="H140" s="147">
        <v>-409.4</v>
      </c>
      <c r="I140" s="147">
        <f>Assumptions!B83</f>
        <v>-206.56521443401297</v>
      </c>
      <c r="J140" s="147">
        <f>Assumptions!C83</f>
        <v>0</v>
      </c>
      <c r="K140" s="147">
        <f>Assumptions!D83</f>
        <v>-203.375266399428</v>
      </c>
      <c r="L140" s="147">
        <f>Assumptions!E83</f>
        <v>-204.699761008286</v>
      </c>
      <c r="M140" s="147">
        <f>Assumptions!F83</f>
        <v>-210.589495426197</v>
      </c>
      <c r="N140" s="147">
        <f>Assumptions!G83</f>
        <v>-221</v>
      </c>
      <c r="O140" s="38"/>
      <c r="P140" s="38"/>
      <c r="Q140" s="38"/>
    </row>
    <row r="141" spans="4:19" s="148" customFormat="1">
      <c r="D141" s="149" t="s">
        <v>148</v>
      </c>
      <c r="E141" s="38"/>
      <c r="F141" s="146">
        <v>-8.9</v>
      </c>
      <c r="G141" s="147">
        <v>-2.6</v>
      </c>
      <c r="H141" s="147">
        <v>-6.3</v>
      </c>
      <c r="I141" s="147">
        <f t="shared" si="57"/>
        <v>-5.9333333333333336</v>
      </c>
      <c r="J141" s="147">
        <f t="shared" si="57"/>
        <v>-4.9444444444444446</v>
      </c>
      <c r="K141" s="147">
        <f t="shared" si="57"/>
        <v>-5.7259259259259254</v>
      </c>
      <c r="L141" s="147">
        <f t="shared" si="57"/>
        <v>-5.5345679012345679</v>
      </c>
      <c r="M141" s="147">
        <f t="shared" si="57"/>
        <v>-5.401646090534979</v>
      </c>
      <c r="N141" s="147">
        <f t="shared" si="57"/>
        <v>-5.5540466392318244</v>
      </c>
      <c r="O141" s="38"/>
      <c r="P141" s="38"/>
      <c r="Q141" s="38"/>
    </row>
    <row r="142" spans="4:19" s="148" customFormat="1">
      <c r="D142" s="149" t="s">
        <v>147</v>
      </c>
      <c r="E142" s="38"/>
      <c r="F142" s="146">
        <v>-0.4</v>
      </c>
      <c r="G142" s="147">
        <v>-0.1</v>
      </c>
      <c r="H142" s="147">
        <v>-0.3</v>
      </c>
      <c r="I142" s="147">
        <v>0</v>
      </c>
      <c r="J142" s="147">
        <v>0</v>
      </c>
      <c r="K142" s="147">
        <v>0</v>
      </c>
      <c r="L142" s="147">
        <v>0</v>
      </c>
      <c r="M142" s="147">
        <v>0</v>
      </c>
      <c r="N142" s="147">
        <v>0</v>
      </c>
      <c r="O142" s="38"/>
      <c r="P142" s="38"/>
      <c r="Q142" s="38"/>
    </row>
    <row r="143" spans="4:19" s="148" customFormat="1">
      <c r="D143" s="149" t="s">
        <v>146</v>
      </c>
      <c r="E143" s="38"/>
      <c r="F143" s="146">
        <v>8.4</v>
      </c>
      <c r="G143" s="147">
        <v>391.1</v>
      </c>
      <c r="H143" s="147">
        <v>5.4</v>
      </c>
      <c r="I143" s="147">
        <v>0</v>
      </c>
      <c r="J143" s="147">
        <v>0</v>
      </c>
      <c r="K143" s="147">
        <v>0</v>
      </c>
      <c r="L143" s="147">
        <v>0</v>
      </c>
      <c r="M143" s="147">
        <v>0</v>
      </c>
      <c r="N143" s="147">
        <v>0</v>
      </c>
      <c r="O143" s="38"/>
      <c r="P143" s="38"/>
      <c r="Q143" s="38"/>
    </row>
    <row r="144" spans="4:19" s="148" customFormat="1">
      <c r="D144" s="149" t="s">
        <v>145</v>
      </c>
      <c r="E144" s="38"/>
      <c r="F144" s="146">
        <v>-12.1</v>
      </c>
      <c r="G144" s="147">
        <v>-454.9</v>
      </c>
      <c r="H144" s="147">
        <v>-337.3</v>
      </c>
      <c r="I144" s="147">
        <f>G380</f>
        <v>0</v>
      </c>
      <c r="J144" s="147">
        <f t="shared" ref="J144:N144" si="58">H380</f>
        <v>-200</v>
      </c>
      <c r="K144" s="147">
        <f t="shared" si="58"/>
        <v>0</v>
      </c>
      <c r="L144" s="147">
        <f t="shared" si="58"/>
        <v>0</v>
      </c>
      <c r="M144" s="147">
        <f t="shared" si="58"/>
        <v>0</v>
      </c>
      <c r="N144" s="147">
        <f t="shared" si="58"/>
        <v>0</v>
      </c>
      <c r="O144" s="38"/>
      <c r="P144" s="38"/>
      <c r="Q144" s="38"/>
      <c r="S144" s="148">
        <f>F107/F178</f>
        <v>0.14623603295000409</v>
      </c>
    </row>
    <row r="145" spans="3:24" s="148" customFormat="1">
      <c r="D145" s="149" t="s">
        <v>144</v>
      </c>
      <c r="E145" s="38"/>
      <c r="F145" s="146">
        <v>-0.3</v>
      </c>
      <c r="G145" s="147">
        <v>0</v>
      </c>
      <c r="H145" s="150">
        <v>0</v>
      </c>
      <c r="I145" s="147">
        <v>0</v>
      </c>
      <c r="J145" s="147">
        <v>0</v>
      </c>
      <c r="K145" s="147">
        <v>0</v>
      </c>
      <c r="L145" s="147">
        <v>0</v>
      </c>
      <c r="M145" s="147">
        <v>0</v>
      </c>
      <c r="N145" s="147">
        <v>0</v>
      </c>
      <c r="O145" s="38"/>
      <c r="P145" s="38"/>
      <c r="Q145" s="38"/>
    </row>
    <row r="146" spans="3:24" s="148" customFormat="1">
      <c r="D146" s="149" t="s">
        <v>143</v>
      </c>
      <c r="E146" s="38"/>
      <c r="F146" s="146">
        <v>-2.5</v>
      </c>
      <c r="G146" s="147">
        <v>0.5</v>
      </c>
      <c r="H146" s="147">
        <v>0.2</v>
      </c>
      <c r="I146" s="147">
        <v>0</v>
      </c>
      <c r="J146" s="147">
        <v>0</v>
      </c>
      <c r="K146" s="147">
        <v>0</v>
      </c>
      <c r="L146" s="147">
        <v>0</v>
      </c>
      <c r="M146" s="147">
        <v>0</v>
      </c>
      <c r="N146" s="147">
        <v>0</v>
      </c>
      <c r="O146" s="38"/>
      <c r="P146" s="38"/>
      <c r="Q146" s="38"/>
    </row>
    <row r="147" spans="3:24" s="148" customFormat="1">
      <c r="D147" s="149" t="s">
        <v>90</v>
      </c>
      <c r="E147" s="38"/>
      <c r="F147" s="154">
        <v>-77.099999999999994</v>
      </c>
      <c r="G147" s="155">
        <v>-82.9</v>
      </c>
      <c r="H147" s="155">
        <v>-91.5</v>
      </c>
      <c r="I147" s="155">
        <f t="shared" ref="I147:N147" ca="1" si="59">-I79*divout</f>
        <v>-89.184867908594384</v>
      </c>
      <c r="J147" s="155">
        <f t="shared" ca="1" si="59"/>
        <v>-91.625783543240502</v>
      </c>
      <c r="K147" s="155">
        <f t="shared" ca="1" si="59"/>
        <v>-94.494108866691263</v>
      </c>
      <c r="L147" s="155">
        <f t="shared" ca="1" si="59"/>
        <v>-95.95389916223516</v>
      </c>
      <c r="M147" s="155">
        <f t="shared" ca="1" si="59"/>
        <v>-98.151048398039222</v>
      </c>
      <c r="N147" s="155">
        <f t="shared" ca="1" si="59"/>
        <v>-112.93357728985934</v>
      </c>
      <c r="O147" s="38"/>
      <c r="P147" s="38"/>
      <c r="Q147" s="38"/>
    </row>
    <row r="148" spans="3:24" s="148" customFormat="1" ht="14" thickBot="1">
      <c r="D148" s="156" t="s">
        <v>142</v>
      </c>
      <c r="E148" s="38"/>
      <c r="F148" s="163">
        <f t="shared" ref="F148:N148" si="60">SUM(F138:F147)</f>
        <v>-274.89999999999998</v>
      </c>
      <c r="G148" s="163">
        <f t="shared" si="60"/>
        <v>-371.29999999999995</v>
      </c>
      <c r="H148" s="163">
        <f t="shared" si="60"/>
        <v>-823.59999999999991</v>
      </c>
      <c r="I148" s="163">
        <f t="shared" ca="1" si="60"/>
        <v>-296.85008234260738</v>
      </c>
      <c r="J148" s="163">
        <f t="shared" ca="1" si="60"/>
        <v>-292.22578354324048</v>
      </c>
      <c r="K148" s="163">
        <f t="shared" ca="1" si="60"/>
        <v>-295.33604193278592</v>
      </c>
      <c r="L148" s="163">
        <f t="shared" ca="1" si="60"/>
        <v>-300.37588239274339</v>
      </c>
      <c r="M148" s="163">
        <f t="shared" ca="1" si="60"/>
        <v>-308.00350678719917</v>
      </c>
      <c r="N148" s="163">
        <f t="shared" ca="1" si="60"/>
        <v>-332.75086124047664</v>
      </c>
      <c r="O148" s="38"/>
      <c r="P148" s="38">
        <f>120/298</f>
        <v>0.40268456375838924</v>
      </c>
      <c r="Q148" s="38"/>
    </row>
    <row r="149" spans="3:24" s="148" customFormat="1">
      <c r="D149" s="156"/>
      <c r="E149" s="38"/>
      <c r="F149" s="146"/>
      <c r="G149" s="147"/>
      <c r="H149" s="147"/>
      <c r="I149" s="147"/>
      <c r="J149" s="147"/>
      <c r="K149" s="38"/>
      <c r="L149" s="38"/>
      <c r="M149" s="38"/>
      <c r="N149" s="149"/>
      <c r="O149" s="38"/>
      <c r="P149" s="38"/>
      <c r="Q149" s="38"/>
    </row>
    <row r="150" spans="3:24" s="148" customFormat="1">
      <c r="D150" s="158" t="s">
        <v>141</v>
      </c>
      <c r="E150" s="38"/>
      <c r="F150" s="146">
        <v>40.799999999999997</v>
      </c>
      <c r="G150" s="147">
        <v>-182.2</v>
      </c>
      <c r="H150" s="147">
        <v>7.5</v>
      </c>
      <c r="I150" s="38">
        <f ca="1">I148+I135+I122</f>
        <v>123.37160857739764</v>
      </c>
      <c r="J150" s="38">
        <f ca="1">J148+J135+J122</f>
        <v>78.547669930898223</v>
      </c>
      <c r="K150" s="38">
        <f t="shared" ref="K150:N150" ca="1" si="61">K148+K135+K122</f>
        <v>145.11543063657405</v>
      </c>
      <c r="L150" s="38">
        <f t="shared" ca="1" si="61"/>
        <v>161.27347022856179</v>
      </c>
      <c r="M150" s="38">
        <f t="shared" ca="1" si="61"/>
        <v>186.51353032331463</v>
      </c>
      <c r="N150" s="38">
        <f t="shared" ca="1" si="61"/>
        <v>31.273438996508048</v>
      </c>
      <c r="O150" s="38"/>
      <c r="P150" s="38"/>
      <c r="Q150" s="38"/>
    </row>
    <row r="151" spans="3:24" s="148" customFormat="1">
      <c r="D151" s="158" t="s">
        <v>140</v>
      </c>
      <c r="E151" s="38"/>
      <c r="F151" s="154">
        <v>214.7</v>
      </c>
      <c r="G151" s="155">
        <v>255.5</v>
      </c>
      <c r="H151" s="155">
        <v>73.3</v>
      </c>
      <c r="I151" s="115">
        <f t="shared" ref="I151:N151" si="62">H152</f>
        <v>80.8</v>
      </c>
      <c r="J151" s="115">
        <f t="shared" ca="1" si="62"/>
        <v>204.17160857739765</v>
      </c>
      <c r="K151" s="115">
        <f t="shared" ca="1" si="62"/>
        <v>282.71927850829587</v>
      </c>
      <c r="L151" s="115">
        <f t="shared" ca="1" si="62"/>
        <v>427.83470914486992</v>
      </c>
      <c r="M151" s="115">
        <f t="shared" ca="1" si="62"/>
        <v>589.10817937343177</v>
      </c>
      <c r="N151" s="115">
        <f t="shared" ca="1" si="62"/>
        <v>775.62170969674639</v>
      </c>
      <c r="O151" s="38"/>
      <c r="P151" s="38"/>
      <c r="Q151" s="38"/>
    </row>
    <row r="152" spans="3:24" s="148" customFormat="1" ht="14" thickBot="1">
      <c r="D152" s="158" t="s">
        <v>139</v>
      </c>
      <c r="E152" s="38"/>
      <c r="F152" s="164">
        <f t="shared" ref="F152:N152" si="63">SUM(F150:F151)</f>
        <v>255.5</v>
      </c>
      <c r="G152" s="164">
        <f t="shared" si="63"/>
        <v>73.300000000000011</v>
      </c>
      <c r="H152" s="164">
        <f t="shared" si="63"/>
        <v>80.8</v>
      </c>
      <c r="I152" s="164">
        <f t="shared" ca="1" si="63"/>
        <v>204.17160857739765</v>
      </c>
      <c r="J152" s="164">
        <f t="shared" ca="1" si="63"/>
        <v>282.71927850829587</v>
      </c>
      <c r="K152" s="164">
        <f t="shared" ca="1" si="63"/>
        <v>427.83470914486992</v>
      </c>
      <c r="L152" s="164">
        <f t="shared" ca="1" si="63"/>
        <v>589.10817937343177</v>
      </c>
      <c r="M152" s="164">
        <f t="shared" ca="1" si="63"/>
        <v>775.62170969674639</v>
      </c>
      <c r="N152" s="164">
        <f t="shared" ca="1" si="63"/>
        <v>806.89514869325444</v>
      </c>
      <c r="O152" s="38"/>
      <c r="P152" s="38"/>
      <c r="Q152" s="38"/>
    </row>
    <row r="153" spans="3:24" s="148" customFormat="1" ht="14" thickTop="1">
      <c r="D153" s="158"/>
      <c r="E153" s="38"/>
      <c r="F153" s="38"/>
      <c r="G153" s="38"/>
      <c r="H153" s="38"/>
      <c r="I153" s="38"/>
      <c r="J153" s="38"/>
      <c r="K153" s="38"/>
      <c r="L153" s="38"/>
      <c r="M153" s="38"/>
      <c r="N153" s="38"/>
      <c r="O153" s="38"/>
      <c r="P153" s="38"/>
      <c r="Q153" s="149"/>
      <c r="R153" s="38"/>
      <c r="S153" s="38"/>
      <c r="T153" s="38"/>
    </row>
    <row r="154" spans="3:24" s="148" customFormat="1">
      <c r="D154" s="165"/>
      <c r="E154" s="115"/>
      <c r="F154" s="115"/>
      <c r="G154" s="115"/>
      <c r="H154" s="115"/>
      <c r="I154" s="159"/>
      <c r="J154" s="115"/>
      <c r="K154" s="115"/>
      <c r="L154" s="115"/>
      <c r="M154" s="115"/>
      <c r="N154" s="115"/>
      <c r="O154" s="38"/>
      <c r="P154" s="115"/>
      <c r="Q154" s="166"/>
      <c r="R154" s="38"/>
      <c r="S154" s="38"/>
      <c r="T154" s="38"/>
    </row>
    <row r="155" spans="3:24" s="12" customFormat="1">
      <c r="E155" s="22"/>
      <c r="F155" s="22"/>
      <c r="G155" s="22"/>
      <c r="H155" s="22"/>
      <c r="I155" s="22"/>
      <c r="K155" s="167"/>
      <c r="L155" s="167"/>
      <c r="M155" s="167"/>
      <c r="N155" s="132"/>
      <c r="O155" s="167"/>
      <c r="P155" s="132"/>
      <c r="Q155" s="58"/>
    </row>
    <row r="156" spans="3:24" s="12" customFormat="1">
      <c r="E156" s="22"/>
      <c r="F156" s="22"/>
      <c r="G156" s="22"/>
      <c r="H156" s="22"/>
      <c r="I156" s="22"/>
      <c r="K156" s="167"/>
      <c r="L156" s="167">
        <f>L1</f>
        <v>0</v>
      </c>
      <c r="M156" s="167"/>
      <c r="N156" s="132"/>
      <c r="O156" s="167"/>
      <c r="P156" s="132"/>
      <c r="Q156" s="58"/>
    </row>
    <row r="157" spans="3:24" s="12" customFormat="1" ht="19">
      <c r="C157" s="285"/>
      <c r="D157" s="282" t="s">
        <v>252</v>
      </c>
      <c r="E157" s="282"/>
      <c r="F157" s="282"/>
      <c r="G157" s="282"/>
      <c r="H157" s="282"/>
      <c r="I157" s="282"/>
      <c r="J157" s="282"/>
      <c r="K157" s="282"/>
      <c r="L157" s="282"/>
      <c r="M157" s="282"/>
      <c r="N157" s="282"/>
      <c r="O157" s="282"/>
      <c r="P157" s="282"/>
      <c r="Q157" s="282"/>
      <c r="R157" s="7"/>
      <c r="S157" s="7"/>
      <c r="T157" s="7"/>
    </row>
    <row r="158" spans="3:24" s="12" customFormat="1" ht="15" thickBot="1">
      <c r="C158" s="283"/>
      <c r="D158" s="283" t="s">
        <v>302</v>
      </c>
      <c r="E158" s="283"/>
      <c r="F158" s="283"/>
      <c r="G158" s="283"/>
      <c r="H158" s="283"/>
      <c r="I158" s="284"/>
      <c r="J158" s="284"/>
      <c r="K158" s="284"/>
      <c r="L158" s="284"/>
      <c r="M158" s="284"/>
      <c r="N158" s="284"/>
      <c r="O158" s="284"/>
      <c r="P158" s="284"/>
      <c r="Q158" s="284"/>
      <c r="R158" s="131"/>
      <c r="S158" s="131"/>
      <c r="T158" s="131"/>
      <c r="X158" s="85"/>
    </row>
    <row r="159" spans="3:24" s="12" customFormat="1">
      <c r="C159" s="86" t="s">
        <v>281</v>
      </c>
      <c r="F159" s="22"/>
      <c r="G159" s="22"/>
      <c r="H159" s="22"/>
      <c r="I159" s="22"/>
      <c r="J159" s="22"/>
      <c r="K159" s="22"/>
      <c r="L159" s="22"/>
      <c r="M159" s="22"/>
      <c r="N159" s="22"/>
      <c r="O159" s="22"/>
      <c r="P159" s="22"/>
      <c r="Q159" s="83"/>
      <c r="U159" s="85"/>
    </row>
    <row r="160" spans="3:24" s="12" customFormat="1">
      <c r="F160" s="3"/>
      <c r="G160" s="3"/>
      <c r="H160" s="3"/>
      <c r="I160" s="8"/>
      <c r="J160" s="8"/>
      <c r="K160" s="10" t="s">
        <v>277</v>
      </c>
      <c r="L160" s="10"/>
      <c r="M160" s="10"/>
      <c r="N160" s="10"/>
      <c r="O160" s="133"/>
      <c r="P160" s="133"/>
      <c r="Q160" s="21"/>
      <c r="U160" s="87"/>
    </row>
    <row r="161" spans="4:21" s="12" customFormat="1">
      <c r="F161" s="3"/>
      <c r="G161" s="3"/>
      <c r="H161" s="3"/>
      <c r="I161" s="3"/>
      <c r="J161" s="3"/>
      <c r="L161" s="13"/>
      <c r="M161" s="13"/>
      <c r="N161" s="14"/>
      <c r="U161" s="85"/>
    </row>
    <row r="162" spans="4:21" s="12" customFormat="1">
      <c r="F162" s="16" t="s">
        <v>65</v>
      </c>
      <c r="G162" s="16" t="s">
        <v>64</v>
      </c>
      <c r="H162" s="16" t="s">
        <v>63</v>
      </c>
      <c r="I162" s="16" t="s">
        <v>268</v>
      </c>
      <c r="J162" s="16" t="s">
        <v>301</v>
      </c>
      <c r="K162" s="16" t="s">
        <v>300</v>
      </c>
      <c r="L162" s="88" t="s">
        <v>299</v>
      </c>
      <c r="M162" s="88" t="s">
        <v>298</v>
      </c>
      <c r="N162" s="17" t="s">
        <v>276</v>
      </c>
      <c r="O162" s="88"/>
      <c r="P162" s="88"/>
      <c r="U162" s="87"/>
    </row>
    <row r="163" spans="4:21" s="12" customFormat="1">
      <c r="E163" s="22"/>
      <c r="F163" s="22"/>
      <c r="H163" s="167"/>
      <c r="I163" s="18"/>
      <c r="J163" s="18"/>
      <c r="K163" s="21"/>
      <c r="L163" s="167"/>
      <c r="M163" s="21"/>
      <c r="N163" s="168"/>
    </row>
    <row r="164" spans="4:21" s="148" customFormat="1">
      <c r="D164" s="169" t="s">
        <v>74</v>
      </c>
      <c r="E164" s="139"/>
      <c r="F164" s="140"/>
      <c r="G164" s="140"/>
      <c r="H164" s="140"/>
      <c r="I164" s="139"/>
      <c r="J164" s="139"/>
      <c r="K164" s="139"/>
      <c r="L164" s="139"/>
      <c r="M164" s="170"/>
      <c r="N164" s="170"/>
      <c r="O164" s="38"/>
      <c r="P164" s="38"/>
      <c r="Q164" s="38"/>
    </row>
    <row r="165" spans="4:21" s="148" customFormat="1">
      <c r="D165" s="171" t="s">
        <v>227</v>
      </c>
      <c r="E165" s="38"/>
      <c r="F165" s="143"/>
      <c r="G165" s="143"/>
      <c r="H165" s="143"/>
      <c r="I165" s="38"/>
      <c r="J165" s="38"/>
      <c r="K165" s="38"/>
      <c r="L165" s="38"/>
      <c r="M165" s="172"/>
      <c r="N165" s="172"/>
      <c r="O165" s="38"/>
      <c r="P165" s="38"/>
      <c r="Q165" s="38"/>
    </row>
    <row r="166" spans="4:21" s="148" customFormat="1">
      <c r="D166" s="173" t="s">
        <v>226</v>
      </c>
      <c r="E166" s="38"/>
      <c r="F166" s="146">
        <v>255.5</v>
      </c>
      <c r="G166" s="146">
        <v>73.3</v>
      </c>
      <c r="H166" s="146">
        <v>80.8</v>
      </c>
      <c r="I166" s="147">
        <f t="shared" ref="I166:N166" ca="1" si="64">I152</f>
        <v>204.17160857739765</v>
      </c>
      <c r="J166" s="147">
        <f ca="1">J152</f>
        <v>282.71927850829587</v>
      </c>
      <c r="K166" s="147">
        <f t="shared" ca="1" si="64"/>
        <v>427.83470914486992</v>
      </c>
      <c r="L166" s="147">
        <f t="shared" ca="1" si="64"/>
        <v>589.10817937343177</v>
      </c>
      <c r="M166" s="174">
        <f t="shared" ca="1" si="64"/>
        <v>775.62170969674639</v>
      </c>
      <c r="N166" s="174">
        <f t="shared" ca="1" si="64"/>
        <v>806.89514869325444</v>
      </c>
      <c r="O166" s="38"/>
      <c r="P166" s="38"/>
      <c r="Q166" s="38"/>
    </row>
    <row r="167" spans="4:21" s="148" customFormat="1">
      <c r="D167" s="173" t="s">
        <v>24</v>
      </c>
      <c r="E167" s="38"/>
      <c r="F167" s="146">
        <v>300.3</v>
      </c>
      <c r="G167" s="146">
        <v>329.1</v>
      </c>
      <c r="H167" s="146">
        <v>300.2</v>
      </c>
      <c r="I167" s="147">
        <f t="shared" ref="I167:N168" si="65">J266</f>
        <v>320.30757569375402</v>
      </c>
      <c r="J167" s="147">
        <f t="shared" si="65"/>
        <v>330.13708010316282</v>
      </c>
      <c r="K167" s="147">
        <f t="shared" si="65"/>
        <v>339.60072313154541</v>
      </c>
      <c r="L167" s="147">
        <f t="shared" si="65"/>
        <v>350.98680828372943</v>
      </c>
      <c r="M167" s="174">
        <f t="shared" si="65"/>
        <v>361.76762124126338</v>
      </c>
      <c r="N167" s="174">
        <f t="shared" si="65"/>
        <v>0</v>
      </c>
      <c r="O167" s="38"/>
      <c r="P167" s="38"/>
      <c r="Q167" s="38"/>
    </row>
    <row r="168" spans="4:21" s="148" customFormat="1">
      <c r="D168" s="173" t="s">
        <v>225</v>
      </c>
      <c r="E168" s="38"/>
      <c r="F168" s="146">
        <v>728.3</v>
      </c>
      <c r="G168" s="146">
        <v>784.4</v>
      </c>
      <c r="H168" s="146">
        <v>781.3</v>
      </c>
      <c r="I168" s="147">
        <f t="shared" si="65"/>
        <v>765.81867800727787</v>
      </c>
      <c r="J168" s="147">
        <f t="shared" si="65"/>
        <v>789.31989572270697</v>
      </c>
      <c r="K168" s="147">
        <f t="shared" si="65"/>
        <v>811.94638083605935</v>
      </c>
      <c r="L168" s="147">
        <f t="shared" si="65"/>
        <v>839.16920458613129</v>
      </c>
      <c r="M168" s="174">
        <f t="shared" si="65"/>
        <v>864.94489193633024</v>
      </c>
      <c r="N168" s="174">
        <f t="shared" si="65"/>
        <v>0</v>
      </c>
      <c r="O168" s="38"/>
      <c r="P168" s="38"/>
      <c r="Q168" s="38"/>
    </row>
    <row r="169" spans="4:21" s="148" customFormat="1">
      <c r="D169" s="173" t="s">
        <v>224</v>
      </c>
      <c r="E169" s="38"/>
      <c r="F169" s="146">
        <v>11.7</v>
      </c>
      <c r="G169" s="146">
        <v>6.6</v>
      </c>
      <c r="H169" s="146">
        <v>15.3</v>
      </c>
      <c r="I169" s="147">
        <f t="shared" ref="I169:N170" si="66">SUM(F169:H169)/3</f>
        <v>11.199999999999998</v>
      </c>
      <c r="J169" s="147">
        <f>SUM(G169:I169)/3</f>
        <v>11.033333333333331</v>
      </c>
      <c r="K169" s="147">
        <f t="shared" si="66"/>
        <v>12.511111111111111</v>
      </c>
      <c r="L169" s="147">
        <f t="shared" si="66"/>
        <v>11.581481481481481</v>
      </c>
      <c r="M169" s="174">
        <f t="shared" si="66"/>
        <v>11.708641975308643</v>
      </c>
      <c r="N169" s="174">
        <f t="shared" si="66"/>
        <v>11.933744855967078</v>
      </c>
      <c r="O169" s="38"/>
      <c r="P169" s="38"/>
      <c r="Q169" s="38"/>
    </row>
    <row r="170" spans="4:21" s="148" customFormat="1">
      <c r="D170" s="173" t="s">
        <v>223</v>
      </c>
      <c r="E170" s="38"/>
      <c r="F170" s="146">
        <v>2.2000000000000002</v>
      </c>
      <c r="G170" s="146">
        <v>13.9</v>
      </c>
      <c r="H170" s="146">
        <v>10.9</v>
      </c>
      <c r="I170" s="147">
        <f t="shared" si="66"/>
        <v>9</v>
      </c>
      <c r="J170" s="147">
        <f t="shared" si="66"/>
        <v>11.266666666666666</v>
      </c>
      <c r="K170" s="147">
        <f t="shared" si="66"/>
        <v>10.388888888888888</v>
      </c>
      <c r="L170" s="147">
        <f t="shared" si="66"/>
        <v>10.218518518518517</v>
      </c>
      <c r="M170" s="174">
        <f t="shared" si="66"/>
        <v>10.624691358024689</v>
      </c>
      <c r="N170" s="174">
        <f t="shared" si="66"/>
        <v>10.410699588477364</v>
      </c>
      <c r="O170" s="38"/>
      <c r="P170" s="38"/>
      <c r="Q170" s="38"/>
    </row>
    <row r="171" spans="4:21" s="148" customFormat="1">
      <c r="D171" s="143"/>
      <c r="E171" s="38"/>
      <c r="F171" s="140">
        <f t="shared" ref="F171:N171" si="67">SUM(F166:F170)</f>
        <v>1298</v>
      </c>
      <c r="G171" s="140">
        <f t="shared" si="67"/>
        <v>1207.3</v>
      </c>
      <c r="H171" s="140">
        <f t="shared" si="67"/>
        <v>1188.5</v>
      </c>
      <c r="I171" s="140">
        <f t="shared" ca="1" si="67"/>
        <v>1310.4978622784295</v>
      </c>
      <c r="J171" s="140">
        <f t="shared" ca="1" si="67"/>
        <v>1424.4762543341656</v>
      </c>
      <c r="K171" s="140">
        <f t="shared" ca="1" si="67"/>
        <v>1602.2818131124748</v>
      </c>
      <c r="L171" s="140">
        <f t="shared" ca="1" si="67"/>
        <v>1801.0641922432926</v>
      </c>
      <c r="M171" s="142">
        <f t="shared" ca="1" si="67"/>
        <v>2024.6675562076732</v>
      </c>
      <c r="N171" s="170">
        <f t="shared" ca="1" si="67"/>
        <v>829.23959313769888</v>
      </c>
      <c r="O171" s="38"/>
      <c r="P171" s="38"/>
      <c r="Q171" s="38"/>
    </row>
    <row r="172" spans="4:21" s="148" customFormat="1">
      <c r="D172" s="143" t="s">
        <v>222</v>
      </c>
      <c r="E172" s="38"/>
      <c r="F172" s="143">
        <v>6.6</v>
      </c>
      <c r="G172" s="143">
        <v>0.6</v>
      </c>
      <c r="H172" s="143">
        <v>0.9</v>
      </c>
      <c r="I172" s="38">
        <f t="shared" ref="I172:N172" si="68">SUM(F172:H172)/3</f>
        <v>2.6999999999999997</v>
      </c>
      <c r="J172" s="38">
        <f t="shared" si="68"/>
        <v>1.3999999999999997</v>
      </c>
      <c r="K172" s="38">
        <f t="shared" si="68"/>
        <v>1.6666666666666663</v>
      </c>
      <c r="L172" s="38">
        <f t="shared" si="68"/>
        <v>1.9222222222222218</v>
      </c>
      <c r="M172" s="172">
        <f t="shared" si="68"/>
        <v>1.6629629629629628</v>
      </c>
      <c r="N172" s="172">
        <f t="shared" si="68"/>
        <v>1.7506172839506169</v>
      </c>
      <c r="O172" s="38"/>
      <c r="P172" s="38"/>
      <c r="Q172" s="38"/>
    </row>
    <row r="173" spans="4:21" s="148" customFormat="1">
      <c r="D173" s="143" t="s">
        <v>221</v>
      </c>
      <c r="E173" s="38"/>
      <c r="F173" s="143">
        <f t="shared" ref="F173:N173" si="69">SUM(F171:F172)</f>
        <v>1304.5999999999999</v>
      </c>
      <c r="G173" s="143">
        <f t="shared" si="69"/>
        <v>1207.8999999999999</v>
      </c>
      <c r="H173" s="143">
        <f t="shared" si="69"/>
        <v>1189.4000000000001</v>
      </c>
      <c r="I173" s="143">
        <f t="shared" ca="1" si="69"/>
        <v>1313.1978622784295</v>
      </c>
      <c r="J173" s="143">
        <f t="shared" ca="1" si="69"/>
        <v>1425.8762543341657</v>
      </c>
      <c r="K173" s="143">
        <f t="shared" ca="1" si="69"/>
        <v>1603.9484797791415</v>
      </c>
      <c r="L173" s="143">
        <f t="shared" ca="1" si="69"/>
        <v>1802.9864144655148</v>
      </c>
      <c r="M173" s="149">
        <f t="shared" ca="1" si="69"/>
        <v>2026.3305191706361</v>
      </c>
      <c r="N173" s="172">
        <f t="shared" ca="1" si="69"/>
        <v>830.99021042164952</v>
      </c>
      <c r="O173" s="38"/>
      <c r="P173" s="38"/>
      <c r="Q173" s="38"/>
    </row>
    <row r="174" spans="4:21" s="148" customFormat="1">
      <c r="D174" s="143"/>
      <c r="E174" s="38"/>
      <c r="F174" s="143"/>
      <c r="G174" s="143"/>
      <c r="H174" s="143"/>
      <c r="I174" s="38"/>
      <c r="J174" s="38"/>
      <c r="K174" s="38"/>
      <c r="L174" s="38"/>
      <c r="M174" s="172"/>
      <c r="N174" s="172"/>
      <c r="O174" s="38"/>
      <c r="P174" s="38"/>
      <c r="Q174" s="38"/>
    </row>
    <row r="175" spans="4:21" s="148" customFormat="1">
      <c r="D175" s="175" t="s">
        <v>220</v>
      </c>
      <c r="E175" s="38"/>
      <c r="F175" s="143"/>
      <c r="G175" s="143"/>
      <c r="H175" s="143"/>
      <c r="I175" s="38"/>
      <c r="J175" s="38"/>
      <c r="K175" s="38"/>
      <c r="L175" s="38"/>
      <c r="M175" s="172"/>
      <c r="N175" s="172"/>
      <c r="O175" s="38"/>
      <c r="P175" s="38"/>
      <c r="Q175" s="38"/>
      <c r="R175" s="148">
        <f>1/Q176</f>
        <v>9.4292873051224948</v>
      </c>
    </row>
    <row r="176" spans="4:21" s="148" customFormat="1">
      <c r="D176" s="176" t="s">
        <v>219</v>
      </c>
      <c r="E176" s="38"/>
      <c r="F176" s="146">
        <v>258.7</v>
      </c>
      <c r="G176" s="146">
        <v>324.5</v>
      </c>
      <c r="H176" s="146">
        <v>206.4</v>
      </c>
      <c r="I176" s="147">
        <f t="shared" ref="I176:N177" si="70">SUM(F176:H176)/3</f>
        <v>263.2</v>
      </c>
      <c r="J176" s="147">
        <f t="shared" si="70"/>
        <v>264.7</v>
      </c>
      <c r="K176" s="147">
        <f t="shared" si="70"/>
        <v>244.76666666666665</v>
      </c>
      <c r="L176" s="147">
        <f t="shared" si="70"/>
        <v>257.55555555555554</v>
      </c>
      <c r="M176" s="174">
        <f t="shared" si="70"/>
        <v>255.67407407407404</v>
      </c>
      <c r="N176" s="174">
        <f t="shared" si="70"/>
        <v>252.66543209876542</v>
      </c>
      <c r="O176" s="38"/>
      <c r="P176" s="38"/>
      <c r="Q176" s="38">
        <f>H67/Q180</f>
        <v>0.10605255388249188</v>
      </c>
    </row>
    <row r="177" spans="4:17" s="148" customFormat="1">
      <c r="D177" s="176" t="s">
        <v>218</v>
      </c>
      <c r="E177" s="38"/>
      <c r="F177" s="146">
        <v>17</v>
      </c>
      <c r="G177" s="146">
        <v>25.8</v>
      </c>
      <c r="H177" s="146">
        <v>27.5</v>
      </c>
      <c r="I177" s="147">
        <f t="shared" si="70"/>
        <v>23.433333333333334</v>
      </c>
      <c r="J177" s="147">
        <f t="shared" si="70"/>
        <v>25.577777777777779</v>
      </c>
      <c r="K177" s="147">
        <f t="shared" si="70"/>
        <v>25.503703703703707</v>
      </c>
      <c r="L177" s="147">
        <f t="shared" si="70"/>
        <v>24.838271604938274</v>
      </c>
      <c r="M177" s="174">
        <f t="shared" si="70"/>
        <v>25.306584362139919</v>
      </c>
      <c r="N177" s="174">
        <f t="shared" si="70"/>
        <v>25.216186556927298</v>
      </c>
      <c r="O177" s="38"/>
      <c r="P177" s="38"/>
      <c r="Q177" s="38"/>
    </row>
    <row r="178" spans="4:17" s="148" customFormat="1">
      <c r="D178" s="176" t="s">
        <v>365</v>
      </c>
      <c r="E178" s="38"/>
      <c r="F178" s="146">
        <v>1226.0999999999999</v>
      </c>
      <c r="G178" s="146">
        <v>1280.3</v>
      </c>
      <c r="H178" s="146">
        <v>1328.4</v>
      </c>
      <c r="I178" s="147">
        <f>H178+I131-I107</f>
        <v>899.71458333333339</v>
      </c>
      <c r="J178" s="147">
        <f t="shared" ref="J178:N183" si="71">SUM(G178:I178)/3</f>
        <v>1169.4715277777777</v>
      </c>
      <c r="K178" s="147">
        <f t="shared" si="71"/>
        <v>1132.5287037037037</v>
      </c>
      <c r="L178" s="147">
        <f t="shared" si="71"/>
        <v>1067.2382716049383</v>
      </c>
      <c r="M178" s="174">
        <f t="shared" si="71"/>
        <v>1123.0795010288066</v>
      </c>
      <c r="N178" s="174">
        <f t="shared" si="71"/>
        <v>1107.6154921124828</v>
      </c>
      <c r="O178" s="38"/>
      <c r="P178" s="38"/>
      <c r="Q178" s="38"/>
    </row>
    <row r="179" spans="4:17" s="148" customFormat="1">
      <c r="D179" s="176" t="s">
        <v>216</v>
      </c>
      <c r="E179" s="38"/>
      <c r="F179" s="146">
        <v>27</v>
      </c>
      <c r="G179" s="146">
        <v>22.1</v>
      </c>
      <c r="H179" s="146">
        <v>20.7</v>
      </c>
      <c r="I179" s="147">
        <f>SUM(F179:H179)/3</f>
        <v>23.266666666666666</v>
      </c>
      <c r="J179" s="147">
        <f t="shared" si="71"/>
        <v>22.022222222222222</v>
      </c>
      <c r="K179" s="147">
        <f t="shared" si="71"/>
        <v>21.996296296296297</v>
      </c>
      <c r="L179" s="147">
        <f t="shared" si="71"/>
        <v>22.428395061728395</v>
      </c>
      <c r="M179" s="174">
        <f t="shared" si="71"/>
        <v>22.148971193415637</v>
      </c>
      <c r="N179" s="174">
        <f t="shared" si="71"/>
        <v>22.191220850480107</v>
      </c>
      <c r="O179" s="38"/>
      <c r="P179" s="38"/>
      <c r="Q179" s="38"/>
    </row>
    <row r="180" spans="4:17" s="148" customFormat="1">
      <c r="D180" s="176" t="s">
        <v>215</v>
      </c>
      <c r="E180" s="38"/>
      <c r="F180" s="146">
        <v>297.2</v>
      </c>
      <c r="G180" s="146">
        <v>373.1</v>
      </c>
      <c r="H180" s="146">
        <v>365.1</v>
      </c>
      <c r="I180" s="147">
        <f>SUM(F180:H180)/3</f>
        <v>345.13333333333338</v>
      </c>
      <c r="J180" s="147">
        <f t="shared" si="71"/>
        <v>361.11111111111114</v>
      </c>
      <c r="K180" s="147">
        <f t="shared" si="71"/>
        <v>357.11481481481479</v>
      </c>
      <c r="L180" s="147">
        <f t="shared" si="71"/>
        <v>354.45308641975311</v>
      </c>
      <c r="M180" s="174">
        <f t="shared" si="71"/>
        <v>357.55967078189298</v>
      </c>
      <c r="N180" s="174">
        <f t="shared" si="71"/>
        <v>356.37585733882025</v>
      </c>
      <c r="O180" s="38"/>
      <c r="P180" s="38"/>
      <c r="Q180" s="38">
        <f>H178+H180</f>
        <v>1693.5</v>
      </c>
    </row>
    <row r="181" spans="4:17" s="148" customFormat="1">
      <c r="D181" s="176" t="s">
        <v>214</v>
      </c>
      <c r="E181" s="38"/>
      <c r="F181" s="146">
        <v>1649.1</v>
      </c>
      <c r="G181" s="146">
        <v>1859.5</v>
      </c>
      <c r="H181" s="146">
        <v>1855.6</v>
      </c>
      <c r="I181" s="147">
        <f>SUM(F181:H181)/3</f>
        <v>1788.0666666666666</v>
      </c>
      <c r="J181" s="147">
        <f t="shared" si="71"/>
        <v>1834.3888888888887</v>
      </c>
      <c r="K181" s="147">
        <f t="shared" si="71"/>
        <v>1826.0185185185182</v>
      </c>
      <c r="L181" s="147">
        <f t="shared" si="71"/>
        <v>1816.1580246913579</v>
      </c>
      <c r="M181" s="174">
        <f t="shared" si="71"/>
        <v>1825.5218106995883</v>
      </c>
      <c r="N181" s="174">
        <f t="shared" si="71"/>
        <v>1822.5661179698216</v>
      </c>
      <c r="O181" s="38"/>
      <c r="P181" s="38"/>
      <c r="Q181" s="38"/>
    </row>
    <row r="182" spans="4:17" s="148" customFormat="1">
      <c r="D182" s="176" t="s">
        <v>213</v>
      </c>
      <c r="E182" s="38"/>
      <c r="F182" s="146">
        <v>45.8</v>
      </c>
      <c r="G182" s="146">
        <v>56.3</v>
      </c>
      <c r="H182" s="146">
        <v>53.9</v>
      </c>
      <c r="I182" s="147">
        <f>SUM(F182:H182)/3</f>
        <v>52</v>
      </c>
      <c r="J182" s="147">
        <f t="shared" si="71"/>
        <v>54.066666666666663</v>
      </c>
      <c r="K182" s="147">
        <f t="shared" si="71"/>
        <v>53.322222222222223</v>
      </c>
      <c r="L182" s="147">
        <f t="shared" si="71"/>
        <v>53.129629629629626</v>
      </c>
      <c r="M182" s="174">
        <f t="shared" si="71"/>
        <v>53.506172839506171</v>
      </c>
      <c r="N182" s="174">
        <f t="shared" si="71"/>
        <v>53.319341563786004</v>
      </c>
      <c r="O182" s="38"/>
      <c r="P182" s="38"/>
      <c r="Q182" s="38"/>
    </row>
    <row r="183" spans="4:17" s="148" customFormat="1">
      <c r="D183" s="176" t="s">
        <v>661</v>
      </c>
      <c r="E183" s="38"/>
      <c r="F183" s="154">
        <v>1.6</v>
      </c>
      <c r="G183" s="154">
        <v>1.4</v>
      </c>
      <c r="H183" s="154">
        <v>14.5</v>
      </c>
      <c r="I183" s="147">
        <f>SUM(F183:H183)/3</f>
        <v>5.833333333333333</v>
      </c>
      <c r="J183" s="147">
        <f t="shared" si="71"/>
        <v>7.2444444444444445</v>
      </c>
      <c r="K183" s="147">
        <f t="shared" si="71"/>
        <v>9.1925925925925913</v>
      </c>
      <c r="L183" s="147">
        <f t="shared" si="71"/>
        <v>7.4234567901234563</v>
      </c>
      <c r="M183" s="177">
        <f t="shared" si="71"/>
        <v>7.9534979423868313</v>
      </c>
      <c r="N183" s="174">
        <f t="shared" si="71"/>
        <v>8.1898491083676266</v>
      </c>
      <c r="O183" s="38"/>
      <c r="P183" s="38"/>
      <c r="Q183" s="38"/>
    </row>
    <row r="184" spans="4:17" s="148" customFormat="1">
      <c r="D184" s="162" t="s">
        <v>211</v>
      </c>
      <c r="E184" s="38"/>
      <c r="F184" s="178">
        <f t="shared" ref="F184:N184" si="72">SUM(F173,F176:F183)</f>
        <v>4827.0999999999995</v>
      </c>
      <c r="G184" s="178">
        <f t="shared" si="72"/>
        <v>5150.8999999999996</v>
      </c>
      <c r="H184" s="178">
        <f t="shared" si="72"/>
        <v>5061.5</v>
      </c>
      <c r="I184" s="178">
        <f t="shared" ca="1" si="72"/>
        <v>4713.8457789450958</v>
      </c>
      <c r="J184" s="178">
        <f t="shared" ca="1" si="72"/>
        <v>5164.4588932230554</v>
      </c>
      <c r="K184" s="178">
        <f t="shared" ca="1" si="72"/>
        <v>5274.3919982976595</v>
      </c>
      <c r="L184" s="178">
        <f t="shared" ca="1" si="72"/>
        <v>5406.2111058235387</v>
      </c>
      <c r="M184" s="178">
        <f t="shared" ca="1" si="72"/>
        <v>5697.080802092446</v>
      </c>
      <c r="N184" s="179">
        <f t="shared" ca="1" si="72"/>
        <v>4479.1297080211007</v>
      </c>
      <c r="O184" s="90"/>
      <c r="P184" s="90"/>
      <c r="Q184" s="38"/>
    </row>
    <row r="185" spans="4:17" s="148" customFormat="1">
      <c r="D185" s="162"/>
      <c r="E185" s="38"/>
      <c r="F185" s="140"/>
      <c r="G185" s="140"/>
      <c r="H185" s="140"/>
      <c r="I185" s="38"/>
      <c r="J185" s="38"/>
      <c r="K185" s="38"/>
      <c r="L185" s="38"/>
      <c r="M185" s="38"/>
      <c r="N185" s="149"/>
      <c r="O185" s="38"/>
      <c r="P185" s="38"/>
      <c r="Q185" s="38"/>
    </row>
    <row r="186" spans="4:17" s="148" customFormat="1">
      <c r="D186" s="162" t="s">
        <v>660</v>
      </c>
      <c r="E186" s="38"/>
      <c r="F186" s="143"/>
      <c r="G186" s="143"/>
      <c r="H186" s="143"/>
      <c r="I186" s="38"/>
      <c r="J186" s="38"/>
      <c r="K186" s="38"/>
      <c r="L186" s="38"/>
      <c r="M186" s="38"/>
      <c r="N186" s="149"/>
      <c r="O186" s="38"/>
      <c r="P186" s="38"/>
      <c r="Q186" s="38"/>
    </row>
    <row r="187" spans="4:17" s="148" customFormat="1">
      <c r="D187" s="171" t="s">
        <v>209</v>
      </c>
      <c r="E187" s="38"/>
      <c r="F187" s="143"/>
      <c r="G187" s="143"/>
      <c r="H187" s="143"/>
      <c r="I187" s="38"/>
      <c r="J187" s="38"/>
      <c r="K187" s="38"/>
      <c r="L187" s="38"/>
      <c r="M187" s="38"/>
      <c r="N187" s="149"/>
      <c r="O187" s="38"/>
      <c r="P187" s="38"/>
      <c r="Q187" s="38"/>
    </row>
    <row r="188" spans="4:17" s="148" customFormat="1">
      <c r="D188" s="173" t="s">
        <v>208</v>
      </c>
      <c r="E188" s="38"/>
      <c r="F188" s="146">
        <v>0.3</v>
      </c>
      <c r="G188" s="146">
        <v>0.3</v>
      </c>
      <c r="H188" s="146">
        <v>2</v>
      </c>
      <c r="I188" s="147"/>
      <c r="J188" s="147"/>
      <c r="K188" s="38"/>
      <c r="L188" s="38"/>
      <c r="M188" s="38"/>
      <c r="N188" s="149"/>
      <c r="O188" s="38"/>
      <c r="P188" s="38"/>
      <c r="Q188" s="38"/>
    </row>
    <row r="189" spans="4:17" s="148" customFormat="1">
      <c r="D189" s="173" t="s">
        <v>207</v>
      </c>
      <c r="E189" s="38"/>
      <c r="F189" s="146">
        <v>1061.0999999999999</v>
      </c>
      <c r="G189" s="146">
        <v>1086.9000000000001</v>
      </c>
      <c r="H189" s="146">
        <v>1004.9</v>
      </c>
      <c r="I189" s="147"/>
      <c r="J189" s="147"/>
      <c r="K189" s="38"/>
      <c r="L189" s="38"/>
      <c r="M189" s="38"/>
      <c r="N189" s="149"/>
      <c r="O189" s="38"/>
      <c r="P189" s="38"/>
      <c r="Q189" s="38"/>
    </row>
    <row r="190" spans="4:17" s="148" customFormat="1">
      <c r="D190" s="173" t="s">
        <v>206</v>
      </c>
      <c r="E190" s="38"/>
      <c r="F190" s="146">
        <v>46.2</v>
      </c>
      <c r="G190" s="146">
        <v>60.5</v>
      </c>
      <c r="H190" s="146">
        <v>147.30000000000001</v>
      </c>
      <c r="I190" s="147"/>
      <c r="J190" s="147"/>
      <c r="K190" s="38"/>
      <c r="L190" s="38"/>
      <c r="M190" s="38"/>
      <c r="N190" s="149"/>
      <c r="O190" s="38"/>
      <c r="P190" s="38"/>
      <c r="Q190" s="38"/>
    </row>
    <row r="191" spans="4:17" s="148" customFormat="1">
      <c r="D191" s="173" t="s">
        <v>200</v>
      </c>
      <c r="E191" s="38"/>
      <c r="F191" s="146">
        <v>17.3</v>
      </c>
      <c r="G191" s="146">
        <v>11.2</v>
      </c>
      <c r="H191" s="146">
        <v>39.700000000000003</v>
      </c>
      <c r="I191" s="147"/>
      <c r="J191" s="147"/>
      <c r="K191" s="38"/>
      <c r="L191" s="38"/>
      <c r="M191" s="38"/>
      <c r="N191" s="149"/>
      <c r="O191" s="38"/>
      <c r="P191" s="38"/>
      <c r="Q191" s="38"/>
    </row>
    <row r="192" spans="4:17" s="148" customFormat="1">
      <c r="D192" s="180" t="s">
        <v>205</v>
      </c>
      <c r="E192" s="38"/>
      <c r="F192" s="146">
        <v>378.1</v>
      </c>
      <c r="G192" s="146">
        <v>12.1</v>
      </c>
      <c r="H192" s="146">
        <v>12.4</v>
      </c>
      <c r="I192" s="147"/>
      <c r="J192" s="147"/>
      <c r="K192" s="38"/>
      <c r="L192" s="38"/>
      <c r="M192" s="38"/>
      <c r="N192" s="149"/>
      <c r="O192" s="38"/>
      <c r="P192" s="38"/>
      <c r="Q192" s="38"/>
    </row>
    <row r="193" spans="4:17" s="148" customFormat="1">
      <c r="D193" s="143" t="s">
        <v>204</v>
      </c>
      <c r="E193" s="38"/>
      <c r="F193" s="143">
        <f t="shared" ref="F193:N193" si="73">SUM(F188:F192)</f>
        <v>1503</v>
      </c>
      <c r="G193" s="143">
        <f t="shared" si="73"/>
        <v>1171</v>
      </c>
      <c r="H193" s="143">
        <f t="shared" si="73"/>
        <v>1206.3000000000002</v>
      </c>
      <c r="I193" s="143">
        <f t="shared" si="73"/>
        <v>0</v>
      </c>
      <c r="J193" s="143">
        <f t="shared" si="73"/>
        <v>0</v>
      </c>
      <c r="K193" s="143">
        <f t="shared" si="73"/>
        <v>0</v>
      </c>
      <c r="L193" s="143">
        <f t="shared" si="73"/>
        <v>0</v>
      </c>
      <c r="M193" s="143">
        <f t="shared" si="73"/>
        <v>0</v>
      </c>
      <c r="N193" s="149">
        <f t="shared" si="73"/>
        <v>0</v>
      </c>
      <c r="O193" s="38"/>
      <c r="P193" s="38"/>
      <c r="Q193" s="38"/>
    </row>
    <row r="194" spans="4:17" s="148" customFormat="1">
      <c r="D194" s="143" t="s">
        <v>203</v>
      </c>
      <c r="E194" s="38"/>
      <c r="F194" s="143"/>
      <c r="G194" s="143"/>
      <c r="H194" s="143"/>
      <c r="I194" s="38"/>
      <c r="J194" s="38"/>
      <c r="K194" s="38"/>
      <c r="L194" s="38"/>
      <c r="M194" s="38"/>
      <c r="N194" s="149"/>
      <c r="O194" s="38"/>
      <c r="P194" s="38"/>
      <c r="Q194" s="38"/>
    </row>
    <row r="195" spans="4:17" s="148" customFormat="1">
      <c r="D195" s="176" t="s">
        <v>202</v>
      </c>
      <c r="E195" s="38"/>
      <c r="F195" s="146">
        <v>656.2</v>
      </c>
      <c r="G195" s="146">
        <v>973.9</v>
      </c>
      <c r="H195" s="146">
        <v>650</v>
      </c>
      <c r="I195" s="147"/>
      <c r="J195" s="147"/>
      <c r="K195" s="38"/>
      <c r="L195" s="38"/>
      <c r="M195" s="38"/>
      <c r="N195" s="149"/>
      <c r="O195" s="38"/>
      <c r="P195" s="38"/>
      <c r="Q195" s="38"/>
    </row>
    <row r="196" spans="4:17" s="148" customFormat="1">
      <c r="D196" s="176" t="s">
        <v>201</v>
      </c>
      <c r="E196" s="38"/>
      <c r="F196" s="146">
        <v>132.19999999999999</v>
      </c>
      <c r="G196" s="146">
        <v>156.9</v>
      </c>
      <c r="H196" s="146">
        <v>69.8</v>
      </c>
      <c r="I196" s="147"/>
      <c r="J196" s="147"/>
      <c r="K196" s="38"/>
      <c r="L196" s="38"/>
      <c r="M196" s="38"/>
      <c r="N196" s="149"/>
      <c r="O196" s="38"/>
      <c r="P196" s="38"/>
      <c r="Q196" s="38"/>
    </row>
    <row r="197" spans="4:17" s="148" customFormat="1">
      <c r="D197" s="176" t="s">
        <v>200</v>
      </c>
      <c r="E197" s="38"/>
      <c r="F197" s="146">
        <v>4</v>
      </c>
      <c r="G197" s="146">
        <v>3.1</v>
      </c>
      <c r="H197" s="146">
        <v>4.5</v>
      </c>
      <c r="I197" s="147"/>
      <c r="J197" s="147"/>
      <c r="K197" s="38"/>
      <c r="L197" s="38"/>
      <c r="M197" s="38"/>
      <c r="N197" s="149"/>
      <c r="O197" s="38"/>
      <c r="P197" s="38"/>
      <c r="Q197" s="38"/>
    </row>
    <row r="198" spans="4:17" s="148" customFormat="1">
      <c r="D198" s="176" t="s">
        <v>199</v>
      </c>
      <c r="E198" s="38"/>
      <c r="F198" s="146">
        <v>119</v>
      </c>
      <c r="G198" s="146">
        <v>147.69999999999999</v>
      </c>
      <c r="H198" s="146">
        <v>148.9</v>
      </c>
      <c r="I198" s="147"/>
      <c r="J198" s="147"/>
      <c r="K198" s="38"/>
      <c r="L198" s="38"/>
      <c r="M198" s="38"/>
      <c r="N198" s="149"/>
      <c r="O198" s="38"/>
      <c r="P198" s="38"/>
      <c r="Q198" s="38"/>
    </row>
    <row r="199" spans="4:17" s="148" customFormat="1">
      <c r="D199" s="176" t="s">
        <v>198</v>
      </c>
      <c r="E199" s="38"/>
      <c r="F199" s="146">
        <v>13.4</v>
      </c>
      <c r="G199" s="146">
        <v>13.9</v>
      </c>
      <c r="H199" s="146">
        <v>14.1</v>
      </c>
      <c r="I199" s="147"/>
      <c r="J199" s="147"/>
      <c r="K199" s="38"/>
      <c r="L199" s="38"/>
      <c r="M199" s="38"/>
      <c r="N199" s="149"/>
      <c r="O199" s="38"/>
      <c r="P199" s="38"/>
      <c r="Q199" s="38"/>
    </row>
    <row r="200" spans="4:17" s="148" customFormat="1">
      <c r="D200" s="176" t="s">
        <v>197</v>
      </c>
      <c r="E200" s="38"/>
      <c r="F200" s="154">
        <v>0</v>
      </c>
      <c r="G200" s="154">
        <v>139.30000000000001</v>
      </c>
      <c r="H200" s="154">
        <v>160.5</v>
      </c>
      <c r="I200" s="147"/>
      <c r="J200" s="147"/>
      <c r="K200" s="38"/>
      <c r="L200" s="38"/>
      <c r="M200" s="38"/>
      <c r="N200" s="149"/>
      <c r="O200" s="38"/>
      <c r="P200" s="38"/>
      <c r="Q200" s="38"/>
    </row>
    <row r="201" spans="4:17" s="148" customFormat="1">
      <c r="D201" s="144" t="s">
        <v>196</v>
      </c>
      <c r="E201" s="38"/>
      <c r="F201" s="181">
        <f t="shared" ref="F201:N201" si="74">SUM(F195:F200,F193)</f>
        <v>2427.8000000000002</v>
      </c>
      <c r="G201" s="181">
        <f t="shared" si="74"/>
        <v>2605.8000000000002</v>
      </c>
      <c r="H201" s="181">
        <f t="shared" si="74"/>
        <v>2254.1000000000004</v>
      </c>
      <c r="I201" s="181">
        <f t="shared" si="74"/>
        <v>0</v>
      </c>
      <c r="J201" s="181">
        <f t="shared" si="74"/>
        <v>0</v>
      </c>
      <c r="K201" s="181">
        <f t="shared" si="74"/>
        <v>0</v>
      </c>
      <c r="L201" s="181">
        <f t="shared" si="74"/>
        <v>0</v>
      </c>
      <c r="M201" s="181">
        <f t="shared" si="74"/>
        <v>0</v>
      </c>
      <c r="N201" s="182">
        <f t="shared" si="74"/>
        <v>0</v>
      </c>
      <c r="O201" s="38"/>
      <c r="P201" s="38"/>
      <c r="Q201" s="38"/>
    </row>
    <row r="202" spans="4:17" s="148" customFormat="1">
      <c r="D202" s="143"/>
      <c r="E202" s="38"/>
      <c r="F202" s="143"/>
      <c r="G202" s="143"/>
      <c r="H202" s="143"/>
      <c r="I202" s="38"/>
      <c r="J202" s="38"/>
      <c r="K202" s="38"/>
      <c r="L202" s="38"/>
      <c r="M202" s="38"/>
      <c r="N202" s="149"/>
      <c r="O202" s="38"/>
      <c r="P202" s="38"/>
      <c r="Q202" s="38"/>
    </row>
    <row r="203" spans="4:17" s="148" customFormat="1">
      <c r="D203" s="162" t="s">
        <v>195</v>
      </c>
      <c r="E203" s="38"/>
      <c r="F203" s="143"/>
      <c r="G203" s="143"/>
      <c r="H203" s="143"/>
      <c r="I203" s="38"/>
      <c r="J203" s="38"/>
      <c r="K203" s="38"/>
      <c r="L203" s="38"/>
      <c r="M203" s="38"/>
      <c r="N203" s="149"/>
      <c r="O203" s="38"/>
      <c r="P203" s="38"/>
      <c r="Q203" s="38"/>
    </row>
    <row r="204" spans="4:17" s="148" customFormat="1" ht="16">
      <c r="D204" s="176" t="s">
        <v>194</v>
      </c>
      <c r="E204" s="38"/>
      <c r="F204" s="146">
        <v>682.6</v>
      </c>
      <c r="G204" s="146">
        <v>666.3</v>
      </c>
      <c r="H204" s="146">
        <v>640.4</v>
      </c>
      <c r="I204" s="147"/>
      <c r="J204" s="147"/>
      <c r="K204" s="38"/>
      <c r="L204" s="38"/>
      <c r="M204" s="183"/>
      <c r="N204" s="149"/>
      <c r="O204" s="38"/>
      <c r="P204" s="38"/>
      <c r="Q204" s="38"/>
    </row>
    <row r="205" spans="4:17" s="148" customFormat="1" ht="16">
      <c r="D205" s="176" t="s">
        <v>193</v>
      </c>
      <c r="E205" s="38"/>
      <c r="F205" s="146">
        <v>0</v>
      </c>
      <c r="G205" s="146">
        <v>-12.2</v>
      </c>
      <c r="H205" s="146">
        <v>-14.4</v>
      </c>
      <c r="I205" s="147"/>
      <c r="J205" s="147"/>
      <c r="K205" s="38"/>
      <c r="L205" s="38"/>
      <c r="M205" s="183"/>
      <c r="N205" s="149"/>
      <c r="O205" s="38"/>
      <c r="P205" s="38"/>
      <c r="Q205" s="38"/>
    </row>
    <row r="206" spans="4:17" s="148" customFormat="1">
      <c r="D206" s="176" t="s">
        <v>192</v>
      </c>
      <c r="E206" s="38"/>
      <c r="F206" s="146">
        <v>3.8</v>
      </c>
      <c r="G206" s="146">
        <v>16.2</v>
      </c>
      <c r="H206" s="146">
        <v>14.6</v>
      </c>
      <c r="I206" s="147"/>
      <c r="J206" s="147"/>
      <c r="K206" s="38"/>
      <c r="L206" s="38"/>
      <c r="M206" s="38"/>
      <c r="N206" s="149"/>
      <c r="O206" s="38"/>
      <c r="P206" s="38"/>
      <c r="Q206" s="38"/>
    </row>
    <row r="207" spans="4:17" s="148" customFormat="1">
      <c r="D207" s="176" t="s">
        <v>191</v>
      </c>
      <c r="E207" s="38"/>
      <c r="F207" s="146">
        <v>1763.6</v>
      </c>
      <c r="G207" s="146">
        <v>1874.4</v>
      </c>
      <c r="H207" s="146">
        <v>2165.9</v>
      </c>
      <c r="I207" s="147"/>
      <c r="J207" s="147"/>
      <c r="K207" s="38"/>
      <c r="L207" s="38"/>
      <c r="M207" s="38"/>
      <c r="N207" s="149"/>
      <c r="O207" s="38"/>
      <c r="P207" s="38"/>
      <c r="Q207" s="38"/>
    </row>
    <row r="208" spans="4:17" s="148" customFormat="1">
      <c r="D208" s="176" t="s">
        <v>190</v>
      </c>
      <c r="E208" s="38"/>
      <c r="F208" s="154">
        <v>-51.2</v>
      </c>
      <c r="G208" s="154">
        <v>-0.4</v>
      </c>
      <c r="H208" s="154">
        <v>-0.4</v>
      </c>
      <c r="I208" s="147"/>
      <c r="J208" s="147"/>
      <c r="K208" s="38"/>
      <c r="L208" s="38"/>
      <c r="M208" s="38"/>
      <c r="N208" s="149"/>
      <c r="O208" s="38"/>
      <c r="P208" s="38"/>
      <c r="Q208" s="38"/>
    </row>
    <row r="209" spans="3:19" s="148" customFormat="1">
      <c r="D209" s="176" t="s">
        <v>189</v>
      </c>
      <c r="E209" s="38"/>
      <c r="F209" s="154">
        <f>SUM(F204:F208)</f>
        <v>2398.8000000000002</v>
      </c>
      <c r="G209" s="154">
        <f>SUM(G204:G208)</f>
        <v>2544.2999999999997</v>
      </c>
      <c r="H209" s="154">
        <f>SUM(H204:H208)</f>
        <v>2806.1</v>
      </c>
      <c r="I209" s="147"/>
      <c r="J209" s="147"/>
      <c r="K209" s="38"/>
      <c r="L209" s="38"/>
      <c r="M209" s="38"/>
      <c r="N209" s="149"/>
      <c r="O209" s="38"/>
      <c r="P209" s="38"/>
      <c r="Q209" s="38"/>
    </row>
    <row r="210" spans="3:19" s="148" customFormat="1">
      <c r="D210" s="184" t="s">
        <v>188</v>
      </c>
      <c r="E210" s="38"/>
      <c r="F210" s="146">
        <v>0.5</v>
      </c>
      <c r="G210" s="146">
        <v>0.8</v>
      </c>
      <c r="H210" s="146">
        <v>1.3</v>
      </c>
      <c r="I210" s="147"/>
      <c r="J210" s="147"/>
      <c r="K210" s="38"/>
      <c r="L210" s="38"/>
      <c r="M210" s="38"/>
      <c r="N210" s="149"/>
      <c r="O210" s="38"/>
      <c r="P210" s="38"/>
      <c r="Q210" s="38"/>
    </row>
    <row r="211" spans="3:19" s="148" customFormat="1">
      <c r="D211" s="185" t="s">
        <v>187</v>
      </c>
      <c r="E211" s="38"/>
      <c r="F211" s="181">
        <f t="shared" ref="F211:N211" si="75">SUM(F209:F210)</f>
        <v>2399.3000000000002</v>
      </c>
      <c r="G211" s="181">
        <f t="shared" si="75"/>
        <v>2545.1</v>
      </c>
      <c r="H211" s="181">
        <f t="shared" si="75"/>
        <v>2807.4</v>
      </c>
      <c r="I211" s="181">
        <f t="shared" si="75"/>
        <v>0</v>
      </c>
      <c r="J211" s="181">
        <f t="shared" si="75"/>
        <v>0</v>
      </c>
      <c r="K211" s="181">
        <f t="shared" si="75"/>
        <v>0</v>
      </c>
      <c r="L211" s="181">
        <f t="shared" si="75"/>
        <v>0</v>
      </c>
      <c r="M211" s="181">
        <f t="shared" si="75"/>
        <v>0</v>
      </c>
      <c r="N211" s="182">
        <f t="shared" si="75"/>
        <v>0</v>
      </c>
      <c r="O211" s="38"/>
      <c r="P211" s="38"/>
      <c r="Q211" s="38"/>
    </row>
    <row r="212" spans="3:19" s="148" customFormat="1">
      <c r="D212" s="186" t="s">
        <v>297</v>
      </c>
      <c r="E212" s="115"/>
      <c r="F212" s="178">
        <f t="shared" ref="F212:N212" si="76">SUM(F201,F211)</f>
        <v>4827.1000000000004</v>
      </c>
      <c r="G212" s="178">
        <f t="shared" si="76"/>
        <v>5150.8999999999996</v>
      </c>
      <c r="H212" s="178">
        <f t="shared" si="76"/>
        <v>5061.5</v>
      </c>
      <c r="I212" s="178">
        <f t="shared" si="76"/>
        <v>0</v>
      </c>
      <c r="J212" s="178">
        <f t="shared" si="76"/>
        <v>0</v>
      </c>
      <c r="K212" s="178">
        <f t="shared" si="76"/>
        <v>0</v>
      </c>
      <c r="L212" s="178">
        <f t="shared" si="76"/>
        <v>0</v>
      </c>
      <c r="M212" s="178">
        <f t="shared" si="76"/>
        <v>0</v>
      </c>
      <c r="N212" s="179">
        <f t="shared" si="76"/>
        <v>0</v>
      </c>
      <c r="O212" s="38"/>
      <c r="P212" s="38"/>
      <c r="Q212" s="38"/>
    </row>
    <row r="213" spans="3:19" s="12" customFormat="1">
      <c r="C213" s="187"/>
      <c r="D213" s="188"/>
      <c r="E213" s="22"/>
      <c r="F213" s="22"/>
      <c r="G213" s="22"/>
      <c r="H213" s="22"/>
      <c r="I213" s="22"/>
      <c r="J213" s="22"/>
      <c r="K213" s="22"/>
      <c r="L213" s="22"/>
      <c r="M213" s="22"/>
      <c r="N213" s="189"/>
      <c r="O213" s="22"/>
      <c r="P213" s="22"/>
      <c r="Q213" s="58"/>
    </row>
    <row r="214" spans="3:19" s="12" customFormat="1">
      <c r="C214" s="187"/>
      <c r="D214" s="188"/>
      <c r="E214" s="22"/>
      <c r="F214" s="22"/>
      <c r="G214" s="22"/>
      <c r="H214" s="22"/>
      <c r="I214" s="190"/>
      <c r="J214" s="190"/>
      <c r="K214" s="190"/>
      <c r="L214" s="190"/>
      <c r="M214" s="190"/>
      <c r="N214" s="22"/>
      <c r="O214" s="22"/>
      <c r="P214" s="22"/>
      <c r="Q214" s="58"/>
    </row>
    <row r="215" spans="3:19" s="12" customFormat="1">
      <c r="D215" s="3"/>
      <c r="E215" s="3"/>
      <c r="F215" s="3"/>
      <c r="G215" s="3"/>
      <c r="H215" s="3"/>
      <c r="I215" s="58"/>
      <c r="J215" s="58"/>
      <c r="K215" s="58"/>
      <c r="L215" s="58"/>
      <c r="M215" s="58"/>
      <c r="N215" s="97"/>
      <c r="O215" s="97"/>
      <c r="P215" s="97"/>
      <c r="Q215" s="97"/>
    </row>
    <row r="216" spans="3:19" s="132" customFormat="1" ht="11">
      <c r="D216" s="167"/>
      <c r="E216" s="167"/>
      <c r="F216" s="167"/>
      <c r="G216" s="167"/>
      <c r="H216" s="167"/>
      <c r="I216" s="191"/>
      <c r="J216" s="191"/>
      <c r="K216" s="191"/>
      <c r="L216" s="192">
        <f>L1</f>
        <v>0</v>
      </c>
      <c r="M216" s="191"/>
      <c r="N216" s="193"/>
      <c r="O216" s="193"/>
      <c r="P216" s="193"/>
      <c r="Q216" s="193"/>
    </row>
    <row r="217" spans="3:19" s="12" customFormat="1">
      <c r="C217" s="285"/>
      <c r="D217" s="281"/>
      <c r="E217" s="281"/>
      <c r="F217" s="281"/>
      <c r="G217" s="281"/>
      <c r="H217" s="281"/>
      <c r="I217" s="291"/>
      <c r="J217" s="291"/>
      <c r="K217" s="291"/>
      <c r="L217" s="291"/>
      <c r="M217" s="291"/>
      <c r="N217" s="292"/>
      <c r="O217" s="292"/>
      <c r="P217" s="292"/>
      <c r="Q217" s="58"/>
    </row>
    <row r="218" spans="3:19" s="12" customFormat="1" ht="18.75" customHeight="1">
      <c r="C218" s="295"/>
      <c r="D218" s="282" t="s">
        <v>252</v>
      </c>
      <c r="E218" s="293"/>
      <c r="F218" s="293"/>
      <c r="G218" s="293"/>
      <c r="H218" s="293"/>
      <c r="I218" s="294"/>
      <c r="J218" s="294"/>
      <c r="K218" s="293"/>
      <c r="L218" s="293"/>
      <c r="M218" s="293"/>
      <c r="N218" s="293"/>
      <c r="O218" s="293"/>
      <c r="P218" s="293"/>
      <c r="Q218" s="195"/>
    </row>
    <row r="219" spans="3:19" s="12" customFormat="1" ht="15" thickBot="1">
      <c r="C219" s="284"/>
      <c r="D219" s="283" t="s">
        <v>296</v>
      </c>
      <c r="E219" s="284"/>
      <c r="F219" s="284"/>
      <c r="G219" s="284"/>
      <c r="H219" s="284"/>
      <c r="I219" s="284"/>
      <c r="J219" s="284"/>
      <c r="K219" s="284"/>
      <c r="L219" s="284"/>
      <c r="M219" s="284"/>
      <c r="N219" s="284"/>
      <c r="O219" s="284"/>
      <c r="P219" s="284"/>
      <c r="Q219" s="131"/>
    </row>
    <row r="220" spans="3:19" s="12" customFormat="1">
      <c r="C220" s="86" t="s">
        <v>281</v>
      </c>
      <c r="D220" s="196"/>
      <c r="E220" s="197"/>
      <c r="F220" s="197"/>
      <c r="G220" s="197"/>
      <c r="H220" s="197"/>
      <c r="I220" s="198"/>
      <c r="J220" s="198"/>
      <c r="K220" s="196"/>
      <c r="L220" s="197"/>
      <c r="M220" s="197"/>
      <c r="N220" s="197"/>
      <c r="O220" s="197"/>
      <c r="P220" s="197"/>
      <c r="Q220" s="122"/>
    </row>
    <row r="221" spans="3:19" s="12" customFormat="1">
      <c r="C221" s="197"/>
      <c r="D221" s="122"/>
      <c r="E221" s="122"/>
      <c r="F221" s="122"/>
      <c r="G221" s="122"/>
      <c r="H221" s="122"/>
      <c r="I221" s="199"/>
      <c r="J221" s="199"/>
      <c r="K221" s="122"/>
      <c r="L221" s="197"/>
      <c r="M221" s="197"/>
      <c r="N221" s="133"/>
      <c r="O221" s="200" t="s">
        <v>280</v>
      </c>
      <c r="P221" s="201"/>
      <c r="Q221" s="202"/>
    </row>
    <row r="222" spans="3:19" s="12" customFormat="1">
      <c r="C222" s="197"/>
      <c r="D222" s="122"/>
      <c r="E222" s="122"/>
      <c r="F222" s="122"/>
      <c r="G222" s="122"/>
      <c r="H222" s="122"/>
      <c r="I222" s="199"/>
      <c r="J222" s="199"/>
      <c r="K222" s="122"/>
      <c r="L222" s="197"/>
      <c r="M222" s="197"/>
      <c r="N222" s="122"/>
      <c r="O222" s="203"/>
      <c r="P222" s="202"/>
      <c r="Q222" s="202"/>
      <c r="S222" s="204"/>
    </row>
    <row r="223" spans="3:19" s="12" customFormat="1">
      <c r="C223" s="197"/>
      <c r="D223" s="205"/>
      <c r="E223" s="205"/>
      <c r="F223" s="205"/>
      <c r="G223" s="205"/>
      <c r="H223" s="205"/>
      <c r="I223" s="206"/>
      <c r="J223" s="207"/>
      <c r="K223" s="208"/>
      <c r="L223" s="209"/>
      <c r="M223" s="209"/>
      <c r="N223" s="16"/>
      <c r="O223" s="210"/>
      <c r="P223" s="210"/>
      <c r="Q223" s="210"/>
    </row>
    <row r="224" spans="3:19" s="12" customFormat="1">
      <c r="C224" s="197"/>
      <c r="D224" s="205"/>
      <c r="E224" s="205"/>
      <c r="F224" s="205"/>
      <c r="G224" s="205"/>
      <c r="H224" s="205"/>
      <c r="I224" s="206"/>
      <c r="J224" s="207" t="s">
        <v>377</v>
      </c>
      <c r="K224" s="211" t="s">
        <v>371</v>
      </c>
      <c r="L224" s="212" t="s">
        <v>372</v>
      </c>
      <c r="M224" s="212" t="s">
        <v>373</v>
      </c>
      <c r="N224" s="212" t="s">
        <v>374</v>
      </c>
      <c r="O224" s="212" t="s">
        <v>375</v>
      </c>
      <c r="P224" s="212" t="s">
        <v>376</v>
      </c>
      <c r="Q224" s="21" t="s">
        <v>392</v>
      </c>
    </row>
    <row r="225" spans="3:19" s="12" customFormat="1">
      <c r="C225" s="197"/>
      <c r="D225" s="205"/>
      <c r="E225" s="205"/>
      <c r="F225" s="205"/>
      <c r="G225" s="205"/>
      <c r="H225" s="205"/>
      <c r="I225" s="206" t="s">
        <v>295</v>
      </c>
      <c r="J225" s="213">
        <f>F178+F180+F179</f>
        <v>1550.3</v>
      </c>
      <c r="K225" s="213">
        <f>G178+G180+G179</f>
        <v>1675.5</v>
      </c>
      <c r="L225" s="213">
        <f>H178+H180+H179</f>
        <v>1714.2</v>
      </c>
      <c r="M225" s="214">
        <f>L225-M231</f>
        <v>1523.7333333333333</v>
      </c>
      <c r="N225" s="214">
        <f>M225-N231</f>
        <v>1333.2666666666667</v>
      </c>
      <c r="O225" s="214">
        <f>N225-O231</f>
        <v>1142.8</v>
      </c>
      <c r="P225" s="214">
        <f>O225-P231</f>
        <v>952.33333333333326</v>
      </c>
      <c r="Q225" s="214">
        <f>P225-Q231</f>
        <v>761.86666666666656</v>
      </c>
    </row>
    <row r="226" spans="3:19" s="12" customFormat="1">
      <c r="C226" s="197"/>
      <c r="D226" s="205"/>
      <c r="E226" s="205"/>
      <c r="F226" s="205"/>
      <c r="G226" s="205"/>
      <c r="H226" s="205"/>
      <c r="I226" s="206"/>
      <c r="J226" s="207"/>
      <c r="K226" s="207"/>
      <c r="L226" s="207"/>
      <c r="N226" s="210"/>
      <c r="O226" s="210"/>
      <c r="P226" s="210"/>
      <c r="Q226" s="210"/>
    </row>
    <row r="227" spans="3:19" s="12" customFormat="1">
      <c r="C227" s="197"/>
      <c r="D227" s="197"/>
      <c r="E227" s="122"/>
      <c r="F227" s="122"/>
      <c r="G227" s="122"/>
      <c r="H227" s="122"/>
      <c r="I227" s="122"/>
      <c r="J227" s="207"/>
      <c r="K227" s="207"/>
      <c r="L227" s="207"/>
      <c r="M227" s="197"/>
      <c r="N227" s="197"/>
      <c r="O227" s="197"/>
      <c r="P227" s="197"/>
      <c r="Q227" s="122"/>
    </row>
    <row r="228" spans="3:19" s="12" customFormat="1">
      <c r="C228" s="215" t="s">
        <v>294</v>
      </c>
      <c r="D228" s="118"/>
      <c r="E228" s="118"/>
      <c r="F228" s="118"/>
      <c r="G228" s="118"/>
      <c r="H228" s="118"/>
      <c r="I228" s="216">
        <v>9</v>
      </c>
      <c r="K228" s="197"/>
      <c r="L228" s="197"/>
      <c r="M228" s="197"/>
      <c r="N228" s="197"/>
      <c r="O228" s="197"/>
      <c r="P228" s="197"/>
      <c r="Q228" s="122"/>
    </row>
    <row r="229" spans="3:19" s="12" customFormat="1">
      <c r="C229" s="217" t="s">
        <v>293</v>
      </c>
      <c r="D229" s="218"/>
      <c r="E229" s="219"/>
      <c r="F229" s="219"/>
      <c r="G229" s="219"/>
      <c r="H229" s="219"/>
      <c r="I229" s="220">
        <v>16</v>
      </c>
      <c r="K229" s="221"/>
      <c r="L229" s="222"/>
      <c r="M229" s="222"/>
      <c r="N229" s="222"/>
      <c r="O229" s="223"/>
      <c r="P229" s="224"/>
      <c r="Q229" s="122"/>
    </row>
    <row r="230" spans="3:19" s="12" customFormat="1">
      <c r="C230" s="197"/>
      <c r="D230" s="197"/>
      <c r="E230" s="197"/>
      <c r="F230" s="197"/>
      <c r="G230" s="197"/>
      <c r="H230" s="197"/>
      <c r="I230" s="197"/>
      <c r="J230" s="197"/>
      <c r="K230" s="197"/>
      <c r="L230" s="197"/>
      <c r="M230" s="197"/>
      <c r="N230" s="197"/>
      <c r="O230" s="225"/>
      <c r="P230" s="197"/>
      <c r="Q230" s="122"/>
    </row>
    <row r="231" spans="3:19" s="12" customFormat="1">
      <c r="C231" s="197"/>
      <c r="D231" s="197"/>
      <c r="E231" s="197" t="s">
        <v>292</v>
      </c>
      <c r="F231" s="197"/>
      <c r="G231" s="197"/>
      <c r="H231" s="197"/>
      <c r="I231" s="197"/>
      <c r="J231" s="226">
        <f>F67</f>
        <v>179.3</v>
      </c>
      <c r="K231" s="226">
        <f>G67</f>
        <v>183.9</v>
      </c>
      <c r="L231" s="226">
        <f>H67</f>
        <v>179.6</v>
      </c>
      <c r="M231" s="226">
        <f>$L$225/$I$228</f>
        <v>190.46666666666667</v>
      </c>
      <c r="N231" s="226">
        <f>$L$225/$I$228</f>
        <v>190.46666666666667</v>
      </c>
      <c r="O231" s="226">
        <f>$L$225/$I$228</f>
        <v>190.46666666666667</v>
      </c>
      <c r="P231" s="226">
        <f>$L$225/$I$228</f>
        <v>190.46666666666667</v>
      </c>
      <c r="Q231" s="226">
        <f>$L$225/$I$228</f>
        <v>190.46666666666667</v>
      </c>
      <c r="S231" s="227"/>
    </row>
    <row r="232" spans="3:19" s="12" customFormat="1">
      <c r="C232" s="197"/>
      <c r="D232" s="197"/>
      <c r="E232" s="197"/>
      <c r="F232" s="197"/>
      <c r="G232" s="197"/>
      <c r="H232" s="197"/>
      <c r="I232" s="197"/>
      <c r="J232" s="197"/>
      <c r="K232" s="197"/>
      <c r="L232" s="228"/>
      <c r="M232" s="228"/>
      <c r="N232" s="228"/>
      <c r="O232" s="228"/>
      <c r="P232" s="228"/>
      <c r="Q232" s="229"/>
    </row>
    <row r="233" spans="3:19" s="12" customFormat="1">
      <c r="C233" s="197"/>
      <c r="D233" s="197"/>
      <c r="E233" s="230" t="s">
        <v>19</v>
      </c>
      <c r="F233" s="230"/>
      <c r="G233" s="230"/>
      <c r="H233" s="230"/>
      <c r="I233" s="197"/>
      <c r="J233" s="197"/>
      <c r="K233" s="197"/>
      <c r="L233" s="228"/>
      <c r="M233" s="228"/>
      <c r="N233" s="228"/>
      <c r="O233" s="228"/>
      <c r="P233" s="228"/>
      <c r="Q233" s="229"/>
    </row>
    <row r="234" spans="3:19" s="12" customFormat="1">
      <c r="C234" s="197"/>
      <c r="D234" s="197"/>
      <c r="E234" s="22"/>
      <c r="F234" s="231"/>
      <c r="G234" s="231"/>
      <c r="H234" s="231"/>
      <c r="I234" s="229"/>
      <c r="J234" s="229"/>
      <c r="K234" s="197"/>
      <c r="L234" s="232"/>
      <c r="M234" s="232"/>
      <c r="N234" s="233"/>
      <c r="O234" s="233"/>
      <c r="P234" s="233"/>
      <c r="Q234" s="232"/>
    </row>
    <row r="235" spans="3:19" s="12" customFormat="1">
      <c r="C235" s="197"/>
      <c r="D235" s="197"/>
      <c r="E235" s="231"/>
      <c r="F235" s="231"/>
      <c r="G235" s="231"/>
      <c r="H235" s="231"/>
      <c r="I235" s="229"/>
      <c r="J235" s="229"/>
      <c r="K235" s="197"/>
      <c r="L235" s="232"/>
      <c r="M235" s="232"/>
      <c r="N235" s="234"/>
      <c r="O235" s="233"/>
      <c r="P235" s="233"/>
      <c r="Q235" s="232"/>
    </row>
    <row r="236" spans="3:19" s="12" customFormat="1">
      <c r="C236" s="197"/>
      <c r="D236" s="197"/>
      <c r="E236" s="231"/>
      <c r="F236" s="231"/>
      <c r="G236" s="231"/>
      <c r="H236" s="231"/>
      <c r="I236" s="235"/>
      <c r="J236" s="229"/>
      <c r="K236" s="197"/>
      <c r="L236" s="229"/>
      <c r="M236" s="229"/>
      <c r="N236" s="233"/>
      <c r="O236" s="233"/>
      <c r="P236" s="233"/>
      <c r="Q236" s="232"/>
    </row>
    <row r="237" spans="3:19" s="12" customFormat="1">
      <c r="C237" s="197"/>
      <c r="D237" s="197"/>
      <c r="E237" s="231" t="s">
        <v>389</v>
      </c>
      <c r="F237" s="231"/>
      <c r="G237" s="231"/>
      <c r="H237" s="231"/>
      <c r="I237" s="236">
        <f t="shared" ref="I237:I242" si="77">ABS(HLOOKUP(E237,$I$97:$N$131,ROWS(I97:N131)))</f>
        <v>231.00000000000003</v>
      </c>
      <c r="J237" s="229"/>
      <c r="K237" s="197"/>
      <c r="L237" s="229"/>
      <c r="M237" s="237">
        <f>IF($E237=M$224,$I237/$I$229/2,$I237/$I$229)</f>
        <v>7.2187500000000009</v>
      </c>
      <c r="N237" s="237">
        <f t="shared" ref="N237:Q241" si="78">IF($E237=N$224,$I237/$I$229/2,$I237/$I$229)</f>
        <v>14.437500000000002</v>
      </c>
      <c r="O237" s="237">
        <f t="shared" si="78"/>
        <v>14.437500000000002</v>
      </c>
      <c r="P237" s="237">
        <f t="shared" si="78"/>
        <v>14.437500000000002</v>
      </c>
      <c r="Q237" s="237">
        <f t="shared" si="78"/>
        <v>14.437500000000002</v>
      </c>
    </row>
    <row r="238" spans="3:19" s="12" customFormat="1">
      <c r="C238" s="197"/>
      <c r="D238" s="197"/>
      <c r="E238" s="231" t="s">
        <v>301</v>
      </c>
      <c r="F238" s="231"/>
      <c r="G238" s="231"/>
      <c r="H238" s="231"/>
      <c r="I238" s="236">
        <f t="shared" si="77"/>
        <v>234.05536000000004</v>
      </c>
      <c r="J238" s="229"/>
      <c r="K238" s="197"/>
      <c r="L238" s="229"/>
      <c r="M238" s="237"/>
      <c r="N238" s="237">
        <f t="shared" si="78"/>
        <v>7.3142300000000011</v>
      </c>
      <c r="O238" s="237">
        <f t="shared" si="78"/>
        <v>14.628460000000002</v>
      </c>
      <c r="P238" s="237">
        <f t="shared" si="78"/>
        <v>14.628460000000002</v>
      </c>
      <c r="Q238" s="237">
        <f t="shared" si="78"/>
        <v>14.628460000000002</v>
      </c>
    </row>
    <row r="239" spans="3:19" s="12" customFormat="1">
      <c r="C239" s="197"/>
      <c r="D239" s="197"/>
      <c r="E239" s="231" t="s">
        <v>300</v>
      </c>
      <c r="F239" s="231"/>
      <c r="G239" s="231"/>
      <c r="H239" s="231"/>
      <c r="I239" s="236">
        <f t="shared" si="77"/>
        <v>207</v>
      </c>
      <c r="J239" s="229"/>
      <c r="K239" s="122"/>
      <c r="L239" s="229"/>
      <c r="M239" s="237"/>
      <c r="N239" s="238"/>
      <c r="O239" s="237">
        <f t="shared" si="78"/>
        <v>6.46875</v>
      </c>
      <c r="P239" s="237">
        <f t="shared" si="78"/>
        <v>12.9375</v>
      </c>
      <c r="Q239" s="237">
        <f t="shared" si="78"/>
        <v>12.9375</v>
      </c>
    </row>
    <row r="240" spans="3:19" s="12" customFormat="1">
      <c r="C240" s="197"/>
      <c r="D240" s="197"/>
      <c r="E240" s="231" t="s">
        <v>299</v>
      </c>
      <c r="F240" s="197"/>
      <c r="G240" s="197"/>
      <c r="H240" s="197"/>
      <c r="I240" s="236">
        <f t="shared" si="77"/>
        <v>207.25</v>
      </c>
      <c r="J240" s="198"/>
      <c r="K240" s="197"/>
      <c r="L240" s="229"/>
      <c r="M240" s="229"/>
      <c r="N240" s="229"/>
      <c r="O240" s="229"/>
      <c r="P240" s="237">
        <f t="shared" si="78"/>
        <v>6.4765625</v>
      </c>
      <c r="Q240" s="237">
        <f t="shared" si="78"/>
        <v>12.953125</v>
      </c>
    </row>
    <row r="241" spans="3:17" s="12" customFormat="1">
      <c r="C241" s="197"/>
      <c r="D241" s="197"/>
      <c r="E241" s="239" t="s">
        <v>390</v>
      </c>
      <c r="F241" s="239"/>
      <c r="G241" s="239"/>
      <c r="H241" s="239"/>
      <c r="I241" s="236">
        <f t="shared" si="77"/>
        <v>207.5</v>
      </c>
      <c r="M241" s="240"/>
      <c r="N241" s="240"/>
      <c r="O241" s="240"/>
      <c r="P241" s="240"/>
      <c r="Q241" s="237">
        <f t="shared" si="78"/>
        <v>12.96875</v>
      </c>
    </row>
    <row r="242" spans="3:17" s="12" customFormat="1">
      <c r="C242" s="197"/>
      <c r="D242" s="197"/>
      <c r="E242" s="239" t="s">
        <v>681</v>
      </c>
      <c r="F242" s="239"/>
      <c r="G242" s="239"/>
      <c r="H242" s="239"/>
      <c r="I242" s="236">
        <f t="shared" si="77"/>
        <v>174.29999999999998</v>
      </c>
      <c r="J242" s="241">
        <f>SUM(J231:J241)</f>
        <v>179.3</v>
      </c>
      <c r="K242" s="241">
        <f t="shared" ref="K242:P242" si="79">SUM(K231:K241)</f>
        <v>183.9</v>
      </c>
      <c r="L242" s="241">
        <f t="shared" si="79"/>
        <v>179.6</v>
      </c>
      <c r="M242" s="241">
        <f t="shared" si="79"/>
        <v>197.68541666666667</v>
      </c>
      <c r="N242" s="241">
        <f t="shared" si="79"/>
        <v>212.21839666666668</v>
      </c>
      <c r="O242" s="241">
        <f t="shared" si="79"/>
        <v>226.00137666666666</v>
      </c>
      <c r="P242" s="241">
        <f t="shared" si="79"/>
        <v>238.94668916666666</v>
      </c>
      <c r="Q242" s="241">
        <f>SUM(Q231:Q241)</f>
        <v>258.39200166666666</v>
      </c>
    </row>
    <row r="243" spans="3:17" s="12" customFormat="1">
      <c r="C243" s="125"/>
      <c r="D243" s="125"/>
      <c r="E243" s="125"/>
      <c r="F243" s="125"/>
      <c r="G243" s="125"/>
      <c r="H243" s="125"/>
      <c r="I243" s="125"/>
      <c r="J243" s="242"/>
      <c r="K243" s="125"/>
      <c r="L243" s="243"/>
      <c r="M243" s="243"/>
      <c r="N243" s="244"/>
      <c r="O243" s="244"/>
      <c r="P243" s="244"/>
      <c r="Q243" s="245"/>
    </row>
    <row r="244" spans="3:17" s="12" customFormat="1">
      <c r="C244" s="197"/>
      <c r="D244" s="197"/>
      <c r="E244" s="197"/>
      <c r="F244" s="197"/>
      <c r="G244" s="197"/>
      <c r="H244" s="197"/>
      <c r="I244" s="197"/>
      <c r="J244" s="197"/>
      <c r="K244" s="197"/>
      <c r="L244" s="197"/>
      <c r="M244" s="197"/>
      <c r="N244" s="197"/>
      <c r="O244" s="228"/>
      <c r="P244" s="197"/>
      <c r="Q244" s="122"/>
    </row>
    <row r="245" spans="3:17" s="12" customFormat="1">
      <c r="D245" s="3"/>
      <c r="E245" s="3"/>
      <c r="F245" s="3"/>
      <c r="G245" s="3"/>
      <c r="H245" s="3"/>
      <c r="I245" s="194"/>
      <c r="J245" s="194"/>
      <c r="K245" s="194"/>
      <c r="L245" s="194"/>
      <c r="M245" s="194"/>
      <c r="N245" s="58"/>
      <c r="O245" s="58"/>
      <c r="P245" s="58"/>
      <c r="Q245" s="58"/>
    </row>
    <row r="246" spans="3:17" s="12" customFormat="1">
      <c r="D246" s="3"/>
      <c r="E246" s="3"/>
      <c r="F246" s="3"/>
      <c r="G246" s="3"/>
      <c r="H246" s="3"/>
      <c r="I246" s="194"/>
      <c r="J246" s="194"/>
      <c r="K246" s="194"/>
      <c r="L246" s="194"/>
      <c r="M246" s="194"/>
      <c r="N246" s="58"/>
      <c r="O246" s="58"/>
      <c r="P246" s="58"/>
      <c r="Q246" s="58"/>
    </row>
    <row r="247" spans="3:17" s="12" customFormat="1">
      <c r="C247" s="285"/>
      <c r="D247" s="281"/>
      <c r="E247" s="281"/>
      <c r="F247" s="281"/>
      <c r="G247" s="281"/>
      <c r="H247" s="281"/>
      <c r="I247" s="291"/>
      <c r="J247" s="291"/>
      <c r="K247" s="291"/>
      <c r="L247" s="291"/>
      <c r="M247" s="291"/>
      <c r="N247" s="292"/>
      <c r="O247" s="292"/>
      <c r="P247" s="292"/>
      <c r="Q247" s="292"/>
    </row>
    <row r="248" spans="3:17" s="12" customFormat="1" ht="18">
      <c r="C248" s="282"/>
      <c r="D248" s="293" t="str">
        <f>D218</f>
        <v>Metro.Inc</v>
      </c>
      <c r="E248" s="293"/>
      <c r="F248" s="293"/>
      <c r="G248" s="293"/>
      <c r="H248" s="293"/>
      <c r="I248" s="294"/>
      <c r="J248" s="294"/>
      <c r="K248" s="293"/>
      <c r="L248" s="293"/>
      <c r="M248" s="293"/>
      <c r="N248" s="293"/>
      <c r="O248" s="293"/>
      <c r="P248" s="293"/>
      <c r="Q248" s="296"/>
    </row>
    <row r="249" spans="3:17" s="12" customFormat="1" ht="15" thickBot="1">
      <c r="C249" s="284"/>
      <c r="D249" s="283" t="s">
        <v>359</v>
      </c>
      <c r="E249" s="284"/>
      <c r="F249" s="284"/>
      <c r="G249" s="284"/>
      <c r="H249" s="284"/>
      <c r="I249" s="284"/>
      <c r="J249" s="284"/>
      <c r="K249" s="284"/>
      <c r="L249" s="284"/>
      <c r="M249" s="284"/>
      <c r="N249" s="284"/>
      <c r="O249" s="284"/>
      <c r="P249" s="284"/>
      <c r="Q249" s="284"/>
    </row>
    <row r="250" spans="3:17" s="12" customFormat="1">
      <c r="C250" s="86" t="s">
        <v>281</v>
      </c>
      <c r="D250" s="196"/>
      <c r="E250" s="198"/>
      <c r="F250" s="196"/>
      <c r="G250" s="197"/>
      <c r="H250" s="197"/>
      <c r="I250" s="197"/>
      <c r="J250" s="197"/>
      <c r="K250" s="197"/>
      <c r="L250" s="122"/>
      <c r="N250" s="246"/>
    </row>
    <row r="251" spans="3:17" s="12" customFormat="1">
      <c r="D251" s="3"/>
      <c r="E251" s="194"/>
      <c r="F251" s="194"/>
      <c r="G251" s="194"/>
      <c r="H251" s="194"/>
      <c r="I251" s="133" t="s">
        <v>280</v>
      </c>
      <c r="J251" s="200"/>
      <c r="K251" s="201"/>
      <c r="L251" s="201"/>
      <c r="M251" s="8"/>
      <c r="N251" s="247"/>
    </row>
    <row r="252" spans="3:17" s="12" customFormat="1">
      <c r="D252" s="3"/>
      <c r="E252" s="194"/>
      <c r="F252" s="194"/>
      <c r="G252" s="194"/>
      <c r="H252" s="194"/>
      <c r="I252" s="133"/>
      <c r="J252" s="203"/>
      <c r="K252" s="202"/>
      <c r="L252" s="202"/>
      <c r="N252" s="248"/>
    </row>
    <row r="253" spans="3:17" s="12" customFormat="1">
      <c r="D253" s="3"/>
      <c r="E253" s="194"/>
      <c r="F253" s="249"/>
      <c r="G253" s="209">
        <v>2011</v>
      </c>
      <c r="H253" s="209">
        <v>2012</v>
      </c>
      <c r="I253" s="16">
        <v>2013</v>
      </c>
      <c r="J253" s="210">
        <v>2014</v>
      </c>
      <c r="K253" s="210">
        <v>2015</v>
      </c>
      <c r="L253" s="210">
        <v>2016</v>
      </c>
      <c r="M253" s="210">
        <v>2017</v>
      </c>
      <c r="N253" s="250">
        <v>2018</v>
      </c>
    </row>
    <row r="254" spans="3:17" s="12" customFormat="1">
      <c r="D254" s="3"/>
      <c r="E254" s="194"/>
      <c r="F254" s="194"/>
      <c r="G254" s="194"/>
      <c r="H254" s="194"/>
      <c r="I254" s="58"/>
      <c r="J254" s="58"/>
      <c r="K254" s="58"/>
      <c r="L254" s="58"/>
      <c r="N254" s="248"/>
    </row>
    <row r="255" spans="3:17" s="12" customFormat="1">
      <c r="C255" s="251" t="s">
        <v>291</v>
      </c>
      <c r="D255" s="252"/>
      <c r="E255" s="253" t="s">
        <v>286</v>
      </c>
      <c r="F255" s="254"/>
      <c r="G255" s="254">
        <v>365</v>
      </c>
      <c r="H255" s="254">
        <f t="shared" ref="H255:N255" si="80">DATE(H253,12,31)-DATE(G253,12,31)</f>
        <v>366</v>
      </c>
      <c r="I255" s="254">
        <f t="shared" si="80"/>
        <v>365</v>
      </c>
      <c r="J255" s="254">
        <f t="shared" si="80"/>
        <v>365</v>
      </c>
      <c r="K255" s="254">
        <f t="shared" si="80"/>
        <v>365</v>
      </c>
      <c r="L255" s="254">
        <f t="shared" si="80"/>
        <v>366</v>
      </c>
      <c r="M255" s="254">
        <f t="shared" si="80"/>
        <v>365</v>
      </c>
      <c r="N255" s="254">
        <f t="shared" si="80"/>
        <v>365</v>
      </c>
    </row>
    <row r="256" spans="3:17" s="12" customFormat="1">
      <c r="C256" s="197"/>
      <c r="D256" s="197"/>
      <c r="E256" s="91"/>
      <c r="F256" s="194"/>
      <c r="G256" s="194"/>
      <c r="H256" s="194"/>
      <c r="I256" s="58"/>
      <c r="J256" s="58"/>
      <c r="K256" s="58"/>
      <c r="L256" s="58"/>
      <c r="N256" s="248"/>
    </row>
    <row r="257" spans="3:17" s="12" customFormat="1">
      <c r="C257" s="255" t="s">
        <v>290</v>
      </c>
      <c r="D257" s="197"/>
      <c r="E257" s="91"/>
      <c r="F257" s="58"/>
      <c r="G257" s="97"/>
      <c r="H257" s="97"/>
      <c r="I257" s="97"/>
      <c r="J257" s="97"/>
      <c r="K257" s="97"/>
      <c r="L257" s="97"/>
      <c r="N257" s="248"/>
    </row>
    <row r="258" spans="3:17" s="12" customFormat="1">
      <c r="C258" s="197"/>
      <c r="D258" s="197" t="s">
        <v>289</v>
      </c>
      <c r="E258" s="91" t="s">
        <v>369</v>
      </c>
      <c r="F258" s="256"/>
      <c r="G258" s="257">
        <f t="shared" ref="G258:N258" si="81">I35</f>
        <v>11396.4</v>
      </c>
      <c r="H258" s="257">
        <f t="shared" si="81"/>
        <v>11674.9</v>
      </c>
      <c r="I258" s="257">
        <f t="shared" si="81"/>
        <v>11402.8</v>
      </c>
      <c r="J258" s="93">
        <f t="shared" si="81"/>
        <v>11761.797296601631</v>
      </c>
      <c r="K258" s="93">
        <f t="shared" si="81"/>
        <v>12122.739862943103</v>
      </c>
      <c r="L258" s="93">
        <f t="shared" si="81"/>
        <v>12504.412944280244</v>
      </c>
      <c r="M258" s="93">
        <f t="shared" si="81"/>
        <v>12888.348593919643</v>
      </c>
      <c r="N258" s="93">
        <f t="shared" si="81"/>
        <v>13284.223516404541</v>
      </c>
    </row>
    <row r="259" spans="3:17" s="12" customFormat="1">
      <c r="C259" s="197"/>
      <c r="D259" s="197" t="s">
        <v>288</v>
      </c>
      <c r="E259" s="91" t="s">
        <v>2</v>
      </c>
      <c r="F259" s="256"/>
      <c r="G259" s="257">
        <f t="shared" ref="G259:N259" si="82">I48</f>
        <v>9333.6</v>
      </c>
      <c r="H259" s="257">
        <f t="shared" si="82"/>
        <v>9485.9</v>
      </c>
      <c r="I259" s="257">
        <f t="shared" si="82"/>
        <v>9237</v>
      </c>
      <c r="J259" s="93">
        <f t="shared" si="82"/>
        <v>9527.0558102473224</v>
      </c>
      <c r="K259" s="93">
        <f t="shared" si="82"/>
        <v>9819.4192889839142</v>
      </c>
      <c r="L259" s="93">
        <f t="shared" si="82"/>
        <v>10128.574484866998</v>
      </c>
      <c r="M259" s="93">
        <f t="shared" si="82"/>
        <v>10439.562361074912</v>
      </c>
      <c r="N259" s="93">
        <f t="shared" si="82"/>
        <v>10760.22104828768</v>
      </c>
    </row>
    <row r="260" spans="3:17" s="12" customFormat="1">
      <c r="C260" s="258" t="s">
        <v>287</v>
      </c>
      <c r="D260" s="259"/>
      <c r="E260" s="91"/>
      <c r="F260" s="58"/>
      <c r="G260" s="260"/>
      <c r="H260" s="260"/>
      <c r="I260" s="260"/>
      <c r="J260" s="97"/>
      <c r="K260" s="97"/>
      <c r="L260" s="97"/>
      <c r="N260" s="248"/>
    </row>
    <row r="261" spans="3:17" s="12" customFormat="1">
      <c r="C261" s="261"/>
      <c r="D261" s="259" t="s">
        <v>24</v>
      </c>
      <c r="E261" s="91" t="s">
        <v>286</v>
      </c>
      <c r="F261" s="93"/>
      <c r="G261" s="257">
        <v>9.8800000000000008</v>
      </c>
      <c r="H261" s="257">
        <f>H255/(H258/((F167+G167)/2))</f>
        <v>9.8656262580407557</v>
      </c>
      <c r="I261" s="257">
        <f>I255/(I258/((G167+H167)/2))</f>
        <v>10.071846388606307</v>
      </c>
      <c r="J261" s="257">
        <f>Assumptions!B63</f>
        <v>9.94</v>
      </c>
      <c r="K261" s="257">
        <f>Assumptions!C63</f>
        <v>9.94</v>
      </c>
      <c r="L261" s="257">
        <f>Assumptions!D63</f>
        <v>9.94</v>
      </c>
      <c r="M261" s="257">
        <f>Assumptions!E63</f>
        <v>9.94</v>
      </c>
      <c r="N261" s="257">
        <f>Assumptions!F63</f>
        <v>9.94</v>
      </c>
    </row>
    <row r="262" spans="3:17" s="12" customFormat="1">
      <c r="C262" s="261"/>
      <c r="D262" s="262" t="s">
        <v>43</v>
      </c>
      <c r="E262" s="91" t="s">
        <v>286</v>
      </c>
      <c r="F262" s="93"/>
      <c r="G262" s="257">
        <f>J262*3-I262-H262</f>
        <v>27.902994705007565</v>
      </c>
      <c r="H262" s="257">
        <f>H255/(H259/((F168+G168)/2))</f>
        <v>29.182692206327282</v>
      </c>
      <c r="I262" s="257">
        <f>I255/(I259/((G168+H168)/2))</f>
        <v>30.934313088665149</v>
      </c>
      <c r="J262" s="257">
        <f>Assumptions!B64</f>
        <v>29.34</v>
      </c>
      <c r="K262" s="257">
        <f>Assumptions!C64</f>
        <v>29.34</v>
      </c>
      <c r="L262" s="257">
        <f>Assumptions!D64</f>
        <v>29.34</v>
      </c>
      <c r="M262" s="257">
        <f>Assumptions!E64</f>
        <v>29.34</v>
      </c>
      <c r="N262" s="257">
        <f>Assumptions!F64</f>
        <v>29.34</v>
      </c>
    </row>
    <row r="263" spans="3:17" s="12" customFormat="1">
      <c r="C263" s="261"/>
      <c r="D263" s="259" t="s">
        <v>44</v>
      </c>
      <c r="E263" s="91" t="s">
        <v>286</v>
      </c>
      <c r="F263" s="93"/>
      <c r="G263" s="257">
        <f>J263*3-I263-H263</f>
        <v>41.732500715525561</v>
      </c>
      <c r="H263" s="257">
        <f>H255/(H259/((F189+G189)/2))</f>
        <v>41.438767012091631</v>
      </c>
      <c r="I263" s="257">
        <f>I255/(I259/((G189+H189)/2))</f>
        <v>41.328732272382815</v>
      </c>
      <c r="J263" s="257">
        <f>Assumptions!B65</f>
        <v>41.5</v>
      </c>
      <c r="K263" s="257">
        <f>Assumptions!C65</f>
        <v>41.5</v>
      </c>
      <c r="L263" s="257">
        <f>Assumptions!D65</f>
        <v>41.5</v>
      </c>
      <c r="M263" s="257">
        <f>Assumptions!E65</f>
        <v>41.5</v>
      </c>
      <c r="N263" s="257">
        <f>Assumptions!F65</f>
        <v>41.5</v>
      </c>
    </row>
    <row r="264" spans="3:17" s="12" customFormat="1">
      <c r="C264" s="263"/>
      <c r="D264" s="259"/>
      <c r="E264" s="91"/>
      <c r="F264" s="58"/>
      <c r="G264" s="260"/>
      <c r="H264" s="260"/>
      <c r="I264" s="260"/>
      <c r="J264" s="97"/>
      <c r="K264" s="97"/>
      <c r="L264" s="97"/>
      <c r="N264" s="248"/>
    </row>
    <row r="265" spans="3:17" s="12" customFormat="1">
      <c r="C265" s="258" t="s">
        <v>285</v>
      </c>
      <c r="D265" s="259"/>
      <c r="E265" s="91"/>
      <c r="F265" s="58"/>
      <c r="G265" s="260"/>
      <c r="H265" s="260"/>
      <c r="I265" s="260"/>
      <c r="J265" s="97"/>
      <c r="K265" s="97"/>
      <c r="L265" s="97"/>
      <c r="N265" s="248"/>
    </row>
    <row r="266" spans="3:17" s="12" customFormat="1">
      <c r="C266" s="263"/>
      <c r="D266" s="259" t="s">
        <v>24</v>
      </c>
      <c r="E266" s="91" t="s">
        <v>2</v>
      </c>
      <c r="F266" s="58"/>
      <c r="G266" s="257">
        <f t="shared" ref="G266:I267" si="83">F167</f>
        <v>300.3</v>
      </c>
      <c r="H266" s="257">
        <f t="shared" si="83"/>
        <v>329.1</v>
      </c>
      <c r="I266" s="257">
        <f t="shared" si="83"/>
        <v>300.2</v>
      </c>
      <c r="J266" s="257">
        <f>J258*J261/J255</f>
        <v>320.30757569375402</v>
      </c>
      <c r="K266" s="257">
        <f>K258*K261/K255</f>
        <v>330.13708010316282</v>
      </c>
      <c r="L266" s="257">
        <f>L258*L261/L255</f>
        <v>339.60072313154541</v>
      </c>
      <c r="M266" s="257">
        <f>M258*M261/M255</f>
        <v>350.98680828372943</v>
      </c>
      <c r="N266" s="257">
        <f>N258*N261/N255</f>
        <v>361.76762124126338</v>
      </c>
    </row>
    <row r="267" spans="3:17" s="12" customFormat="1">
      <c r="C267" s="263"/>
      <c r="D267" s="262" t="s">
        <v>43</v>
      </c>
      <c r="E267" s="91" t="s">
        <v>2</v>
      </c>
      <c r="F267" s="58"/>
      <c r="G267" s="257">
        <f t="shared" si="83"/>
        <v>728.3</v>
      </c>
      <c r="H267" s="257">
        <f t="shared" si="83"/>
        <v>784.4</v>
      </c>
      <c r="I267" s="257">
        <f t="shared" si="83"/>
        <v>781.3</v>
      </c>
      <c r="J267" s="257">
        <f>J259*J262/J255</f>
        <v>765.81867800727787</v>
      </c>
      <c r="K267" s="257">
        <f>K259*K262/K255</f>
        <v>789.31989572270697</v>
      </c>
      <c r="L267" s="257">
        <f>L259*L262/L255</f>
        <v>811.94638083605935</v>
      </c>
      <c r="M267" s="257">
        <f>M259*M262/M255</f>
        <v>839.16920458613129</v>
      </c>
      <c r="N267" s="257">
        <f>N259*N262/N255</f>
        <v>864.94489193633024</v>
      </c>
    </row>
    <row r="268" spans="3:17" s="12" customFormat="1">
      <c r="C268" s="263"/>
      <c r="D268" s="259" t="s">
        <v>44</v>
      </c>
      <c r="E268" s="91" t="s">
        <v>2</v>
      </c>
      <c r="F268" s="58"/>
      <c r="G268" s="264">
        <f>F189</f>
        <v>1061.0999999999999</v>
      </c>
      <c r="H268" s="264">
        <f>G189</f>
        <v>1086.9000000000001</v>
      </c>
      <c r="I268" s="264">
        <f>H189</f>
        <v>1004.9</v>
      </c>
      <c r="J268" s="264">
        <f>J263*J259/J255</f>
        <v>1083.2131948637366</v>
      </c>
      <c r="K268" s="264">
        <f>K263*K259/K255</f>
        <v>1116.4545218981709</v>
      </c>
      <c r="L268" s="264">
        <f>L263*L259/L255</f>
        <v>1148.4585823004929</v>
      </c>
      <c r="M268" s="264">
        <f>M263*M259/M255</f>
        <v>1186.9639396838597</v>
      </c>
      <c r="N268" s="264">
        <f>N263*N259/N255</f>
        <v>1223.4223931614758</v>
      </c>
    </row>
    <row r="269" spans="3:17" s="12" customFormat="1">
      <c r="C269" s="263"/>
      <c r="D269" s="265" t="s">
        <v>284</v>
      </c>
      <c r="E269" s="266" t="s">
        <v>2</v>
      </c>
      <c r="F269" s="58"/>
      <c r="G269" s="260">
        <f>G266+G267-G268</f>
        <v>-32.5</v>
      </c>
      <c r="H269" s="260">
        <f t="shared" ref="H269:N269" si="84">H266+H267-H268</f>
        <v>26.599999999999909</v>
      </c>
      <c r="I269" s="260">
        <f>I266+I267-I268</f>
        <v>76.600000000000023</v>
      </c>
      <c r="J269" s="260">
        <f>J266+J267-J268</f>
        <v>2.9130588372952388</v>
      </c>
      <c r="K269" s="260">
        <f>K266+K267-K268</f>
        <v>3.0024539276989799</v>
      </c>
      <c r="L269" s="260">
        <f t="shared" si="84"/>
        <v>3.0885216671117632</v>
      </c>
      <c r="M269" s="260">
        <f t="shared" si="84"/>
        <v>3.1920731860009255</v>
      </c>
      <c r="N269" s="260">
        <f t="shared" si="84"/>
        <v>3.2901200161177258</v>
      </c>
    </row>
    <row r="270" spans="3:17" s="12" customFormat="1">
      <c r="C270" s="263"/>
      <c r="D270" s="259"/>
      <c r="E270" s="91"/>
      <c r="F270" s="58"/>
      <c r="G270" s="260"/>
      <c r="H270" s="260"/>
      <c r="I270" s="267"/>
      <c r="J270" s="268"/>
      <c r="K270" s="268"/>
      <c r="L270" s="268"/>
      <c r="M270" s="269"/>
      <c r="N270" s="247"/>
    </row>
    <row r="271" spans="3:17" s="12" customFormat="1" ht="14" thickBot="1">
      <c r="C271" s="265" t="s">
        <v>283</v>
      </c>
      <c r="D271" s="261"/>
      <c r="E271" s="266" t="s">
        <v>2</v>
      </c>
      <c r="F271" s="58"/>
      <c r="G271" s="270"/>
      <c r="H271" s="270">
        <f>-(H269-G269)</f>
        <v>-59.099999999999909</v>
      </c>
      <c r="I271" s="270">
        <f t="shared" ref="I271:N271" si="85">-(I269-H269)</f>
        <v>-50.000000000000114</v>
      </c>
      <c r="J271" s="270">
        <f>-(J269-I269)</f>
        <v>73.686941162704784</v>
      </c>
      <c r="K271" s="270">
        <f t="shared" si="85"/>
        <v>-8.9395090403741051E-2</v>
      </c>
      <c r="L271" s="270">
        <f t="shared" si="85"/>
        <v>-8.606773941278334E-2</v>
      </c>
      <c r="M271" s="270">
        <f t="shared" si="85"/>
        <v>-0.10355151888916225</v>
      </c>
      <c r="N271" s="270">
        <f t="shared" si="85"/>
        <v>-9.8046830116800265E-2</v>
      </c>
    </row>
    <row r="272" spans="3:17" s="12" customFormat="1" ht="14" thickTop="1">
      <c r="D272" s="3"/>
      <c r="E272" s="3"/>
      <c r="F272" s="3"/>
      <c r="G272" s="3"/>
      <c r="H272" s="3"/>
      <c r="I272" s="58"/>
      <c r="J272" s="58"/>
      <c r="K272" s="58"/>
      <c r="L272" s="58"/>
      <c r="M272" s="58"/>
      <c r="N272" s="58"/>
      <c r="O272" s="58"/>
      <c r="P272" s="58"/>
      <c r="Q272" s="58"/>
    </row>
    <row r="273" spans="1:18" s="12" customFormat="1"/>
    <row r="274" spans="1:18" s="12" customFormat="1"/>
    <row r="275" spans="1:18" s="132" customFormat="1" ht="11">
      <c r="D275" s="167"/>
      <c r="E275" s="167"/>
      <c r="F275" s="167"/>
      <c r="G275" s="167"/>
      <c r="H275" s="167"/>
      <c r="I275" s="191"/>
      <c r="J275" s="191"/>
      <c r="K275" s="191"/>
      <c r="L275" s="192">
        <f>L216</f>
        <v>0</v>
      </c>
      <c r="M275" s="191"/>
      <c r="N275" s="193"/>
      <c r="O275" s="193"/>
      <c r="P275" s="193"/>
      <c r="Q275" s="193"/>
    </row>
    <row r="276" spans="1:18">
      <c r="A276" s="12"/>
      <c r="B276" s="12"/>
      <c r="C276" s="12"/>
      <c r="D276" s="12"/>
      <c r="E276" s="12"/>
      <c r="F276" s="12"/>
      <c r="G276" s="12"/>
      <c r="H276" s="12"/>
      <c r="I276" s="12"/>
      <c r="J276" s="12"/>
      <c r="K276" s="12"/>
      <c r="L276" s="12"/>
      <c r="M276" s="12"/>
      <c r="N276" s="12"/>
      <c r="O276" s="12"/>
      <c r="P276" s="12"/>
    </row>
    <row r="277" spans="1:18" ht="18">
      <c r="A277" s="12"/>
      <c r="B277" s="12"/>
      <c r="C277" s="12"/>
      <c r="D277" s="195"/>
      <c r="E277" s="271"/>
      <c r="F277" s="271"/>
      <c r="G277" s="271"/>
      <c r="H277" s="271"/>
      <c r="I277" s="271">
        <f>J262*3-I262-H262</f>
        <v>27.902994705007565</v>
      </c>
      <c r="J277" s="271"/>
      <c r="K277" s="271"/>
      <c r="L277" s="271"/>
      <c r="M277" s="271"/>
      <c r="N277" s="271"/>
      <c r="O277" s="271"/>
      <c r="P277" s="271"/>
      <c r="Q277" s="271"/>
      <c r="R277" s="271"/>
    </row>
    <row r="278" spans="1:18">
      <c r="A278" s="12"/>
      <c r="B278" s="12"/>
      <c r="C278" s="12"/>
      <c r="D278" s="202"/>
      <c r="E278" s="271"/>
      <c r="F278" s="271"/>
      <c r="G278" s="271"/>
      <c r="H278" s="271"/>
      <c r="I278" s="271"/>
      <c r="J278" s="271"/>
      <c r="K278" s="271"/>
      <c r="L278" s="271"/>
      <c r="M278" s="271"/>
      <c r="N278" s="271"/>
      <c r="O278" s="271"/>
      <c r="P278" s="271"/>
      <c r="Q278" s="271"/>
      <c r="R278" s="271"/>
    </row>
    <row r="279" spans="1:18" s="12" customFormat="1">
      <c r="C279" s="271"/>
      <c r="D279" s="272"/>
      <c r="E279" s="271"/>
      <c r="F279" s="271"/>
      <c r="G279" s="271"/>
      <c r="H279" s="271"/>
      <c r="I279" s="271"/>
      <c r="J279" s="271"/>
      <c r="K279" s="271"/>
      <c r="L279" s="271"/>
    </row>
    <row r="280" spans="1:18">
      <c r="A280" s="12"/>
      <c r="B280" s="12"/>
      <c r="C280" s="12"/>
      <c r="D280" s="122"/>
      <c r="E280" s="122"/>
      <c r="F280" s="122"/>
      <c r="G280" s="271"/>
      <c r="H280" s="133"/>
      <c r="I280" s="203"/>
      <c r="J280" s="202"/>
      <c r="K280" s="202"/>
      <c r="L280" s="271"/>
      <c r="M280" s="12"/>
      <c r="N280" s="12"/>
      <c r="O280" s="12"/>
      <c r="P280" s="12"/>
    </row>
    <row r="281" spans="1:18">
      <c r="A281" s="12"/>
      <c r="B281" s="12"/>
      <c r="C281" s="12"/>
      <c r="D281" s="122"/>
      <c r="E281" s="122"/>
      <c r="F281" s="373"/>
      <c r="G281" s="374"/>
      <c r="H281" s="374"/>
      <c r="I281" s="273"/>
      <c r="J281" s="211"/>
      <c r="K281" s="211"/>
      <c r="L281" s="211"/>
      <c r="M281" s="12"/>
      <c r="N281" s="12"/>
      <c r="O281" s="12"/>
      <c r="P281" s="12"/>
    </row>
    <row r="282" spans="1:18">
      <c r="A282" s="12"/>
      <c r="B282" s="12"/>
      <c r="C282" s="205"/>
      <c r="D282" s="122"/>
      <c r="E282" s="122"/>
      <c r="F282" s="209"/>
      <c r="G282" s="209"/>
      <c r="H282" s="16"/>
      <c r="I282" s="210"/>
      <c r="J282" s="210"/>
      <c r="K282" s="210"/>
      <c r="L282" s="210"/>
      <c r="M282" s="210"/>
      <c r="N282" s="210"/>
      <c r="O282" s="12"/>
      <c r="P282" s="12"/>
    </row>
    <row r="283" spans="1:18">
      <c r="A283" s="12"/>
      <c r="B283" s="12"/>
      <c r="C283" s="205"/>
      <c r="D283" s="12"/>
      <c r="E283" s="122"/>
      <c r="F283" s="122"/>
      <c r="G283" s="229"/>
      <c r="H283" s="229"/>
      <c r="I283" s="229"/>
      <c r="J283" s="229"/>
      <c r="K283" s="229"/>
      <c r="L283" s="12"/>
      <c r="M283" s="12"/>
      <c r="N283" s="12"/>
      <c r="O283" s="12"/>
      <c r="P283" s="12"/>
    </row>
    <row r="284" spans="1:18">
      <c r="A284" s="12"/>
      <c r="B284" s="12"/>
      <c r="C284" s="12"/>
      <c r="D284" s="960"/>
      <c r="E284" s="961"/>
      <c r="F284" s="122"/>
      <c r="G284" s="277"/>
      <c r="H284" s="277"/>
      <c r="I284" s="277"/>
      <c r="J284" s="277"/>
      <c r="K284" s="277"/>
      <c r="L284" s="277"/>
      <c r="M284" s="277"/>
      <c r="N284" s="277"/>
      <c r="O284" s="12"/>
      <c r="P284" s="12"/>
    </row>
    <row r="285" spans="1:18">
      <c r="A285" s="12"/>
      <c r="B285" s="12"/>
      <c r="C285" s="12"/>
      <c r="D285" s="960"/>
      <c r="E285" s="962"/>
      <c r="F285" s="122"/>
      <c r="G285" s="229"/>
      <c r="H285" s="229"/>
      <c r="I285" s="229"/>
      <c r="J285" s="229"/>
      <c r="K285" s="229"/>
      <c r="L285" s="229"/>
      <c r="M285" s="229"/>
      <c r="N285" s="229"/>
      <c r="O285" s="12"/>
      <c r="P285" s="12"/>
    </row>
    <row r="286" spans="1:18">
      <c r="A286" s="12"/>
      <c r="B286" s="12"/>
      <c r="C286" s="12"/>
      <c r="D286" s="962"/>
      <c r="E286" s="961"/>
      <c r="F286" s="122"/>
      <c r="G286" s="229"/>
      <c r="H286" s="229"/>
      <c r="I286" s="229"/>
      <c r="J286" s="229"/>
      <c r="K286" s="229"/>
      <c r="L286" s="229"/>
      <c r="M286" s="229"/>
      <c r="N286" s="229"/>
      <c r="O286" s="12"/>
      <c r="P286" s="12"/>
    </row>
    <row r="287" spans="1:18">
      <c r="A287" s="12"/>
      <c r="B287" s="12"/>
      <c r="C287" s="12"/>
      <c r="D287" s="962"/>
      <c r="E287" s="961"/>
      <c r="F287" s="122"/>
      <c r="G287" s="229"/>
      <c r="H287" s="229"/>
      <c r="I287" s="229"/>
      <c r="J287" s="229"/>
      <c r="K287" s="229"/>
      <c r="L287" s="12"/>
      <c r="M287" s="12"/>
      <c r="N287" s="12"/>
      <c r="O287" s="12"/>
      <c r="P287" s="12"/>
    </row>
    <row r="288" spans="1:18">
      <c r="A288" s="12"/>
      <c r="B288" s="12"/>
      <c r="C288" s="12"/>
      <c r="D288" s="962"/>
      <c r="E288" s="961"/>
      <c r="F288" s="122"/>
      <c r="G288" s="229"/>
      <c r="H288" s="12"/>
      <c r="I288" s="274"/>
      <c r="J288" s="274"/>
      <c r="K288" s="274"/>
      <c r="L288" s="274"/>
      <c r="M288" s="274"/>
      <c r="N288" s="274"/>
      <c r="O288" s="12"/>
      <c r="P288" s="12"/>
    </row>
    <row r="289" spans="1:16">
      <c r="A289" s="12"/>
      <c r="B289" s="12"/>
      <c r="C289" s="12"/>
      <c r="D289" s="962"/>
      <c r="E289" s="961"/>
      <c r="F289" s="122"/>
      <c r="G289" s="229"/>
      <c r="H289" s="275"/>
      <c r="I289" s="375"/>
      <c r="J289" s="375"/>
      <c r="K289" s="375"/>
      <c r="L289" s="375"/>
      <c r="M289" s="375"/>
      <c r="N289" s="375"/>
      <c r="O289" s="12"/>
      <c r="P289" s="12"/>
    </row>
    <row r="290" spans="1:16">
      <c r="A290" s="12"/>
      <c r="B290" s="12"/>
      <c r="C290" s="12"/>
      <c r="D290" s="962"/>
      <c r="E290" s="961"/>
      <c r="F290" s="122"/>
      <c r="G290" s="229"/>
      <c r="H290" s="229"/>
      <c r="I290" s="229"/>
      <c r="J290" s="229"/>
      <c r="K290" s="229"/>
      <c r="L290" s="12"/>
      <c r="M290" s="12"/>
      <c r="N290" s="12"/>
      <c r="O290" s="12"/>
      <c r="P290" s="12"/>
    </row>
    <row r="291" spans="1:16">
      <c r="A291" s="12"/>
      <c r="B291" s="12"/>
      <c r="C291" s="205"/>
      <c r="D291" s="962"/>
      <c r="E291" s="960"/>
      <c r="F291" s="122"/>
      <c r="G291" s="229"/>
      <c r="H291" s="229"/>
      <c r="I291" s="229"/>
      <c r="J291" s="229"/>
      <c r="K291" s="229"/>
      <c r="L291" s="12"/>
      <c r="M291" s="12"/>
      <c r="N291" s="12"/>
      <c r="O291" s="12"/>
      <c r="P291" s="12"/>
    </row>
    <row r="292" spans="1:16">
      <c r="A292" s="12"/>
      <c r="B292" s="12"/>
      <c r="C292" s="12"/>
      <c r="D292" s="962"/>
      <c r="E292" s="961"/>
      <c r="F292" s="276"/>
      <c r="G292" s="275"/>
      <c r="H292" s="277"/>
      <c r="I292" s="277"/>
      <c r="J292" s="277"/>
      <c r="K292" s="277"/>
      <c r="L292" s="277"/>
      <c r="M292" s="277"/>
      <c r="N292" s="277"/>
      <c r="O292" s="12"/>
      <c r="P292" s="12"/>
    </row>
    <row r="293" spans="1:16">
      <c r="A293" s="12"/>
      <c r="B293" s="12"/>
      <c r="C293" s="12"/>
      <c r="D293" s="960"/>
      <c r="E293" s="962"/>
      <c r="F293" s="276"/>
      <c r="G293" s="275"/>
      <c r="H293" s="277"/>
      <c r="I293" s="376"/>
      <c r="J293" s="376"/>
      <c r="K293" s="376"/>
      <c r="L293" s="376"/>
      <c r="M293" s="376"/>
      <c r="N293" s="376"/>
      <c r="O293" s="12"/>
      <c r="P293" s="12"/>
    </row>
    <row r="294" spans="1:16">
      <c r="A294" s="12"/>
      <c r="B294" s="12"/>
      <c r="C294" s="12"/>
      <c r="D294" s="962"/>
      <c r="E294" s="963"/>
      <c r="F294" s="276"/>
      <c r="G294" s="275"/>
      <c r="H294" s="377"/>
      <c r="I294" s="377"/>
      <c r="J294" s="377"/>
      <c r="K294" s="377"/>
      <c r="L294" s="377"/>
      <c r="M294" s="377"/>
      <c r="N294" s="377"/>
      <c r="O294" s="12"/>
      <c r="P294" s="12"/>
    </row>
    <row r="295" spans="1:16">
      <c r="A295" s="12"/>
      <c r="B295" s="12"/>
      <c r="C295" s="12"/>
      <c r="D295" s="962"/>
      <c r="E295" s="963"/>
      <c r="F295" s="276"/>
      <c r="G295" s="275"/>
      <c r="H295" s="377"/>
      <c r="I295" s="377"/>
      <c r="J295" s="377"/>
      <c r="K295" s="377"/>
      <c r="L295" s="377"/>
      <c r="M295" s="377"/>
      <c r="N295" s="377"/>
      <c r="O295" s="12"/>
      <c r="P295" s="12"/>
    </row>
    <row r="296" spans="1:16">
      <c r="A296" s="12"/>
      <c r="B296" s="12"/>
      <c r="C296" s="12"/>
      <c r="D296" s="962"/>
      <c r="E296" s="963"/>
      <c r="F296" s="122"/>
      <c r="G296" s="229"/>
      <c r="H296" s="275"/>
      <c r="I296" s="275"/>
      <c r="J296" s="275"/>
      <c r="K296" s="275"/>
      <c r="L296" s="12"/>
      <c r="M296" s="12"/>
      <c r="N296" s="12"/>
      <c r="O296" s="12"/>
      <c r="P296" s="12"/>
    </row>
    <row r="297" spans="1:16">
      <c r="A297" s="12"/>
      <c r="B297" s="12"/>
      <c r="C297" s="12"/>
      <c r="D297" s="962"/>
      <c r="E297" s="963"/>
      <c r="F297" s="122"/>
      <c r="G297" s="229"/>
      <c r="H297" s="229"/>
      <c r="I297" s="229"/>
      <c r="J297" s="229"/>
      <c r="K297" s="229"/>
      <c r="L297" s="12"/>
      <c r="M297" s="12"/>
      <c r="N297" s="12"/>
      <c r="O297" s="12"/>
      <c r="P297" s="12"/>
    </row>
    <row r="298" spans="1:16">
      <c r="A298" s="12"/>
      <c r="B298" s="12"/>
      <c r="C298" s="12"/>
      <c r="D298" s="962"/>
      <c r="E298" s="963"/>
      <c r="F298" s="122"/>
      <c r="G298" s="229"/>
      <c r="H298" s="277"/>
      <c r="I298" s="277"/>
      <c r="J298" s="277"/>
      <c r="K298" s="277"/>
      <c r="L298" s="12"/>
      <c r="M298" s="12"/>
      <c r="N298" s="12"/>
      <c r="O298" s="12"/>
      <c r="P298" s="12"/>
    </row>
    <row r="299" spans="1:16">
      <c r="A299" s="12"/>
      <c r="B299" s="12"/>
      <c r="C299" s="12"/>
      <c r="D299" s="962"/>
      <c r="E299" s="964"/>
      <c r="F299" s="122"/>
      <c r="G299" s="229"/>
      <c r="H299" s="277"/>
      <c r="I299" s="277"/>
      <c r="J299" s="277"/>
      <c r="K299" s="277"/>
      <c r="L299" s="12"/>
      <c r="M299" s="12"/>
      <c r="N299" s="12"/>
      <c r="O299" s="12"/>
      <c r="P299" s="12"/>
    </row>
    <row r="300" spans="1:16">
      <c r="A300" s="12"/>
      <c r="B300" s="12"/>
      <c r="C300" s="12"/>
      <c r="D300" s="962"/>
      <c r="E300" s="961"/>
      <c r="F300" s="122"/>
      <c r="G300" s="229"/>
      <c r="H300" s="229"/>
      <c r="I300" s="229"/>
      <c r="J300" s="229"/>
      <c r="K300" s="229"/>
      <c r="L300" s="12"/>
      <c r="M300" s="12"/>
      <c r="N300" s="12"/>
      <c r="O300" s="12"/>
      <c r="P300" s="12"/>
    </row>
    <row r="301" spans="1:16">
      <c r="A301" s="12"/>
      <c r="B301" s="12"/>
      <c r="C301" s="12"/>
      <c r="D301" s="962"/>
      <c r="E301" s="961"/>
      <c r="F301" s="122"/>
      <c r="G301" s="229"/>
      <c r="H301" s="229"/>
      <c r="I301" s="229"/>
      <c r="J301" s="229"/>
      <c r="K301" s="229"/>
      <c r="L301" s="12"/>
      <c r="M301" s="12"/>
      <c r="N301" s="12"/>
      <c r="O301" s="12"/>
      <c r="P301" s="12"/>
    </row>
    <row r="302" spans="1:16">
      <c r="A302" s="12"/>
      <c r="B302" s="12"/>
      <c r="C302" s="12"/>
      <c r="D302" s="962"/>
      <c r="E302" s="961"/>
      <c r="F302" s="122"/>
      <c r="G302" s="229"/>
      <c r="H302" s="12"/>
      <c r="I302" s="378"/>
      <c r="J302" s="378"/>
      <c r="K302" s="378"/>
      <c r="L302" s="378"/>
      <c r="M302" s="378"/>
      <c r="N302" s="378"/>
      <c r="O302" s="378"/>
      <c r="P302" s="12"/>
    </row>
    <row r="303" spans="1:16">
      <c r="A303" s="12"/>
      <c r="B303" s="12"/>
      <c r="C303" s="12"/>
      <c r="D303" s="962"/>
      <c r="E303" s="961"/>
      <c r="F303" s="122"/>
      <c r="G303" s="229"/>
      <c r="H303" s="275"/>
      <c r="I303" s="275"/>
      <c r="J303" s="275"/>
      <c r="K303" s="275"/>
      <c r="L303" s="12"/>
      <c r="M303" s="12"/>
      <c r="N303" s="12"/>
      <c r="O303" s="12"/>
      <c r="P303" s="12"/>
    </row>
    <row r="304" spans="1:16">
      <c r="A304" s="12"/>
      <c r="B304" s="12"/>
      <c r="C304" s="12"/>
      <c r="D304" s="962"/>
      <c r="E304" s="961"/>
      <c r="F304" s="122"/>
      <c r="G304" s="229"/>
      <c r="H304" s="229"/>
      <c r="I304" s="275"/>
      <c r="J304" s="275"/>
      <c r="K304" s="275"/>
      <c r="L304" s="12"/>
      <c r="M304" s="12"/>
      <c r="N304" s="12"/>
      <c r="O304" s="12"/>
      <c r="P304" s="12"/>
    </row>
    <row r="305" spans="1:16">
      <c r="A305" s="12"/>
      <c r="B305" s="12"/>
      <c r="C305" s="12"/>
      <c r="D305" s="962"/>
      <c r="E305" s="961"/>
      <c r="F305" s="122"/>
      <c r="G305" s="229"/>
      <c r="H305" s="229"/>
      <c r="I305" s="275"/>
      <c r="J305" s="275"/>
      <c r="K305" s="275"/>
      <c r="L305" s="12"/>
      <c r="M305" s="12"/>
      <c r="N305" s="12"/>
      <c r="O305" s="12"/>
      <c r="P305" s="12"/>
    </row>
    <row r="306" spans="1:16">
      <c r="A306" s="12"/>
      <c r="B306" s="12"/>
      <c r="C306" s="205"/>
      <c r="D306" s="962"/>
      <c r="E306" s="960"/>
      <c r="F306" s="122"/>
      <c r="G306" s="229"/>
      <c r="H306" s="229"/>
      <c r="I306" s="229"/>
      <c r="J306" s="229"/>
      <c r="K306" s="229"/>
      <c r="L306" s="12"/>
      <c r="M306" s="12"/>
      <c r="N306" s="12"/>
      <c r="O306" s="12"/>
      <c r="P306" s="12"/>
    </row>
    <row r="307" spans="1:16">
      <c r="A307" s="12"/>
      <c r="B307" s="12"/>
      <c r="C307" s="12"/>
      <c r="D307" s="962"/>
      <c r="E307" s="960"/>
      <c r="F307" s="122"/>
      <c r="G307" s="229"/>
      <c r="H307" s="229"/>
      <c r="I307" s="229"/>
      <c r="J307" s="229"/>
      <c r="K307" s="229"/>
      <c r="L307" s="229"/>
      <c r="M307" s="229"/>
      <c r="N307" s="229"/>
      <c r="O307" s="12"/>
      <c r="P307" s="12"/>
    </row>
    <row r="308" spans="1:16">
      <c r="A308" s="12"/>
      <c r="B308" s="12"/>
      <c r="C308" s="12"/>
      <c r="D308" s="962"/>
      <c r="E308" s="961"/>
      <c r="F308" s="122"/>
      <c r="G308" s="229"/>
      <c r="H308" s="229"/>
      <c r="I308" s="229"/>
      <c r="J308" s="229"/>
      <c r="K308" s="229"/>
      <c r="L308" s="229"/>
      <c r="M308" s="229"/>
      <c r="N308" s="229"/>
      <c r="O308" s="12"/>
      <c r="P308" s="12"/>
    </row>
    <row r="309" spans="1:16">
      <c r="A309" s="12"/>
      <c r="B309" s="12"/>
      <c r="C309" s="12"/>
      <c r="D309" s="962"/>
      <c r="E309" s="961"/>
      <c r="F309" s="122"/>
      <c r="G309" s="229"/>
      <c r="H309" s="229"/>
      <c r="I309" s="229"/>
      <c r="J309" s="229"/>
      <c r="K309" s="229"/>
      <c r="L309" s="229"/>
      <c r="M309" s="229"/>
      <c r="N309" s="229"/>
      <c r="O309" s="12"/>
      <c r="P309" s="12"/>
    </row>
    <row r="310" spans="1:16">
      <c r="A310" s="12"/>
      <c r="B310" s="12"/>
      <c r="C310" s="12"/>
      <c r="D310" s="962"/>
      <c r="E310" s="961"/>
      <c r="F310" s="122"/>
      <c r="G310" s="229"/>
      <c r="H310" s="229"/>
      <c r="I310" s="229"/>
      <c r="J310" s="229"/>
      <c r="K310" s="229"/>
      <c r="L310" s="12"/>
      <c r="M310" s="12"/>
      <c r="N310" s="12"/>
      <c r="O310" s="12"/>
      <c r="P310" s="12"/>
    </row>
    <row r="311" spans="1:16">
      <c r="A311" s="12"/>
      <c r="B311" s="12"/>
      <c r="C311" s="12"/>
      <c r="D311" s="962"/>
      <c r="E311" s="960"/>
      <c r="F311" s="122"/>
      <c r="G311" s="229"/>
      <c r="H311" s="12"/>
      <c r="I311" s="378"/>
      <c r="J311" s="378"/>
      <c r="K311" s="378"/>
      <c r="L311" s="378"/>
      <c r="M311" s="378"/>
      <c r="N311" s="378"/>
      <c r="O311" s="12"/>
      <c r="P311" s="12"/>
    </row>
    <row r="312" spans="1:16">
      <c r="A312" s="12"/>
      <c r="B312" s="12"/>
      <c r="C312" s="12"/>
      <c r="D312" s="962"/>
      <c r="E312" s="961"/>
      <c r="F312" s="122"/>
      <c r="G312" s="229"/>
      <c r="H312" s="275"/>
      <c r="I312" s="275"/>
      <c r="J312" s="275"/>
      <c r="K312" s="275"/>
      <c r="L312" s="275"/>
      <c r="M312" s="275"/>
      <c r="N312" s="275"/>
      <c r="O312" s="12"/>
      <c r="P312" s="12"/>
    </row>
    <row r="313" spans="1:16">
      <c r="A313" s="12"/>
      <c r="B313" s="12"/>
      <c r="C313" s="12"/>
      <c r="D313" s="962"/>
      <c r="E313" s="960"/>
      <c r="F313" s="122"/>
      <c r="G313" s="229"/>
      <c r="H313" s="275"/>
      <c r="I313" s="275"/>
      <c r="J313" s="275"/>
      <c r="K313" s="275"/>
      <c r="L313" s="12"/>
      <c r="M313" s="12"/>
      <c r="N313" s="12"/>
      <c r="O313" s="12"/>
      <c r="P313" s="12"/>
    </row>
    <row r="314" spans="1:16">
      <c r="A314" s="12"/>
      <c r="B314" s="12"/>
      <c r="C314" s="12"/>
      <c r="D314" s="962"/>
      <c r="E314" s="960"/>
      <c r="F314" s="122"/>
      <c r="G314" s="229"/>
      <c r="H314" s="229"/>
      <c r="I314" s="229"/>
      <c r="J314" s="229"/>
      <c r="K314" s="229"/>
      <c r="L314" s="12"/>
      <c r="M314" s="12"/>
      <c r="N314" s="12"/>
      <c r="O314" s="12"/>
      <c r="P314" s="12"/>
    </row>
    <row r="315" spans="1:16">
      <c r="A315" s="12"/>
      <c r="B315" s="12"/>
      <c r="C315" s="12"/>
      <c r="D315" s="960"/>
      <c r="E315" s="962"/>
      <c r="F315" s="122"/>
      <c r="G315" s="229"/>
      <c r="H315" s="275"/>
      <c r="I315" s="275"/>
      <c r="J315" s="275"/>
      <c r="K315" s="275"/>
      <c r="L315" s="12"/>
      <c r="M315" s="12"/>
      <c r="N315" s="12"/>
      <c r="O315" s="12"/>
      <c r="P315" s="12"/>
    </row>
    <row r="316" spans="1:16">
      <c r="A316" s="12"/>
      <c r="B316" s="12"/>
      <c r="C316" s="12"/>
      <c r="D316" s="962"/>
      <c r="E316" s="961"/>
      <c r="F316" s="122"/>
      <c r="G316" s="229"/>
      <c r="H316" s="229"/>
      <c r="I316" s="229"/>
      <c r="J316" s="229"/>
      <c r="K316" s="229"/>
      <c r="L316" s="229"/>
      <c r="M316" s="229"/>
      <c r="N316" s="229"/>
      <c r="O316" s="12"/>
      <c r="P316" s="12"/>
    </row>
    <row r="317" spans="1:16">
      <c r="A317" s="12"/>
      <c r="B317" s="12"/>
      <c r="C317" s="12"/>
      <c r="D317" s="962"/>
      <c r="E317" s="961"/>
      <c r="F317" s="122"/>
      <c r="G317" s="229"/>
      <c r="H317" s="229"/>
      <c r="I317" s="229"/>
      <c r="J317" s="229"/>
      <c r="K317" s="229"/>
      <c r="L317" s="229"/>
      <c r="M317" s="229"/>
      <c r="N317" s="229"/>
      <c r="O317" s="12"/>
      <c r="P317" s="12"/>
    </row>
    <row r="318" spans="1:16">
      <c r="A318" s="12"/>
      <c r="B318" s="12"/>
      <c r="C318" s="12"/>
      <c r="D318" s="962"/>
      <c r="E318" s="961"/>
      <c r="F318" s="122"/>
      <c r="G318" s="229"/>
      <c r="H318" s="229"/>
      <c r="I318" s="229"/>
      <c r="J318" s="229"/>
      <c r="K318" s="229"/>
      <c r="L318" s="229"/>
      <c r="M318" s="229"/>
      <c r="N318" s="229"/>
      <c r="O318" s="12"/>
      <c r="P318" s="12"/>
    </row>
    <row r="319" spans="1:16">
      <c r="A319" s="12"/>
      <c r="B319" s="12"/>
      <c r="C319" s="12"/>
      <c r="D319" s="962"/>
      <c r="E319" s="961"/>
      <c r="F319" s="122"/>
      <c r="G319" s="229"/>
      <c r="H319" s="229"/>
      <c r="I319" s="229"/>
      <c r="J319" s="229"/>
      <c r="K319" s="229"/>
      <c r="L319" s="12"/>
      <c r="M319" s="12"/>
      <c r="N319" s="12"/>
      <c r="O319" s="12"/>
      <c r="P319" s="12"/>
    </row>
    <row r="320" spans="1:16">
      <c r="A320" s="12"/>
      <c r="B320" s="12"/>
      <c r="C320" s="12"/>
      <c r="D320" s="962"/>
      <c r="E320" s="961"/>
      <c r="F320" s="122"/>
      <c r="G320" s="229"/>
      <c r="H320" s="12"/>
      <c r="I320" s="378"/>
      <c r="J320" s="378"/>
      <c r="K320" s="378"/>
      <c r="L320" s="378"/>
      <c r="M320" s="378"/>
      <c r="N320" s="378"/>
      <c r="O320" s="12"/>
      <c r="P320" s="12"/>
    </row>
    <row r="321" spans="1:18">
      <c r="A321" s="12"/>
      <c r="B321" s="12"/>
      <c r="C321" s="12"/>
      <c r="D321" s="962"/>
      <c r="E321" s="960"/>
      <c r="F321" s="122"/>
      <c r="G321" s="229"/>
      <c r="H321" s="275"/>
      <c r="I321" s="275"/>
      <c r="J321" s="275"/>
      <c r="K321" s="275"/>
      <c r="L321" s="275"/>
      <c r="M321" s="275"/>
      <c r="N321" s="275"/>
      <c r="O321" s="12"/>
      <c r="P321" s="12"/>
    </row>
    <row r="322" spans="1:18">
      <c r="A322" s="12"/>
      <c r="B322" s="12"/>
      <c r="C322" s="12"/>
      <c r="D322" s="962"/>
      <c r="E322" s="960"/>
      <c r="F322" s="122"/>
      <c r="G322" s="229"/>
      <c r="H322" s="275"/>
      <c r="I322" s="275"/>
      <c r="J322" s="275"/>
      <c r="K322" s="275"/>
      <c r="L322" s="12"/>
      <c r="M322" s="12"/>
      <c r="N322" s="12"/>
      <c r="O322" s="12"/>
      <c r="P322" s="12"/>
    </row>
    <row r="323" spans="1:18">
      <c r="A323" s="12"/>
      <c r="B323" s="12"/>
      <c r="C323" s="12"/>
      <c r="D323" s="962"/>
      <c r="E323" s="961"/>
      <c r="F323" s="122"/>
      <c r="G323" s="229"/>
      <c r="H323" s="229"/>
      <c r="I323" s="229"/>
      <c r="J323" s="229"/>
      <c r="K323" s="229"/>
      <c r="L323" s="12"/>
      <c r="M323" s="12"/>
      <c r="N323" s="12"/>
      <c r="O323" s="12"/>
      <c r="P323" s="12"/>
    </row>
    <row r="324" spans="1:18">
      <c r="A324" s="12"/>
      <c r="B324" s="12"/>
      <c r="C324" s="12"/>
      <c r="D324" s="962"/>
      <c r="E324" s="960"/>
      <c r="F324" s="122"/>
      <c r="G324" s="229"/>
      <c r="H324" s="229"/>
      <c r="I324" s="229"/>
      <c r="J324" s="229"/>
      <c r="K324" s="229"/>
      <c r="L324" s="12"/>
      <c r="M324" s="12"/>
      <c r="N324" s="12"/>
      <c r="O324" s="12"/>
      <c r="P324" s="12"/>
    </row>
    <row r="325" spans="1:18">
      <c r="A325" s="12"/>
      <c r="B325" s="12"/>
      <c r="C325" s="12"/>
      <c r="D325" s="962"/>
      <c r="E325" s="961"/>
      <c r="F325" s="122"/>
      <c r="G325" s="229"/>
      <c r="H325" s="275"/>
      <c r="I325" s="275"/>
      <c r="J325" s="275"/>
      <c r="K325" s="275"/>
      <c r="L325" s="12"/>
      <c r="M325" s="12"/>
      <c r="N325" s="12"/>
      <c r="O325" s="12"/>
      <c r="P325" s="12"/>
    </row>
    <row r="326" spans="1:18">
      <c r="A326" s="12"/>
      <c r="B326" s="12"/>
      <c r="C326" s="12"/>
      <c r="D326" s="962"/>
      <c r="E326" s="961"/>
      <c r="F326" s="122"/>
      <c r="G326" s="122"/>
      <c r="H326" s="122"/>
      <c r="I326" s="122"/>
      <c r="J326" s="122"/>
      <c r="K326" s="199"/>
      <c r="L326" s="122"/>
      <c r="M326" s="122"/>
      <c r="N326" s="379"/>
      <c r="O326" s="122"/>
      <c r="P326" s="122"/>
      <c r="Q326" s="122"/>
      <c r="R326" s="122"/>
    </row>
    <row r="327" spans="1:18">
      <c r="A327" s="12"/>
      <c r="B327" s="12"/>
      <c r="C327" s="12"/>
      <c r="D327" s="962"/>
      <c r="E327" s="961"/>
      <c r="F327" s="122"/>
      <c r="G327" s="122"/>
      <c r="H327" s="122"/>
      <c r="I327" s="122"/>
      <c r="J327" s="122"/>
      <c r="K327" s="199"/>
      <c r="L327" s="122"/>
      <c r="M327" s="122"/>
      <c r="N327" s="122"/>
      <c r="O327" s="122"/>
      <c r="P327" s="122"/>
      <c r="Q327" s="122"/>
      <c r="R327" s="122"/>
    </row>
    <row r="328" spans="1:18" s="132" customFormat="1">
      <c r="D328" s="962"/>
      <c r="E328" s="961"/>
      <c r="I328" s="191"/>
      <c r="J328" s="191"/>
      <c r="K328" s="191"/>
      <c r="L328" s="192"/>
      <c r="M328" s="191"/>
      <c r="N328" s="193"/>
      <c r="O328" s="193"/>
      <c r="P328" s="193"/>
      <c r="Q328" s="193"/>
    </row>
    <row r="329" spans="1:18" s="132" customFormat="1">
      <c r="D329" s="962"/>
      <c r="E329" s="961"/>
      <c r="I329" s="191"/>
      <c r="J329" s="191"/>
      <c r="K329" s="191"/>
      <c r="L329" s="192"/>
      <c r="M329" s="191"/>
      <c r="N329" s="193"/>
      <c r="O329" s="193"/>
      <c r="P329" s="193"/>
      <c r="Q329" s="193"/>
    </row>
    <row r="330" spans="1:18">
      <c r="A330" s="12"/>
      <c r="B330" s="12"/>
      <c r="C330" s="12"/>
      <c r="D330" s="962"/>
      <c r="E330" s="960"/>
      <c r="F330" s="271"/>
      <c r="G330" s="271"/>
      <c r="H330" s="271"/>
      <c r="I330" s="271"/>
      <c r="J330" s="271"/>
      <c r="K330" s="271"/>
      <c r="L330" s="271"/>
      <c r="M330" s="271"/>
      <c r="N330" s="271"/>
      <c r="O330" s="271"/>
      <c r="P330" s="271"/>
      <c r="Q330" s="271"/>
      <c r="R330" s="271"/>
    </row>
    <row r="331" spans="1:18">
      <c r="A331" s="12"/>
      <c r="B331" s="12"/>
      <c r="C331" s="12"/>
      <c r="D331" s="962"/>
      <c r="E331" s="960"/>
      <c r="F331" s="271"/>
      <c r="G331" s="271"/>
      <c r="H331" s="271"/>
      <c r="I331" s="271"/>
      <c r="J331" s="271"/>
      <c r="K331" s="271"/>
      <c r="L331" s="271"/>
      <c r="M331" s="271"/>
      <c r="N331" s="271"/>
      <c r="O331" s="271"/>
      <c r="P331" s="271"/>
      <c r="Q331" s="271"/>
      <c r="R331" s="271"/>
    </row>
    <row r="332" spans="1:18">
      <c r="A332" s="12"/>
      <c r="B332" s="12"/>
      <c r="C332" s="12"/>
      <c r="D332" s="962"/>
      <c r="E332" s="961"/>
      <c r="F332" s="271"/>
      <c r="G332" s="271"/>
      <c r="H332" s="271"/>
      <c r="I332" s="271"/>
      <c r="J332" s="271"/>
      <c r="K332" s="271"/>
      <c r="L332" s="271"/>
      <c r="M332" s="271"/>
      <c r="N332" s="271"/>
      <c r="O332" s="12"/>
      <c r="P332" s="12"/>
    </row>
    <row r="333" spans="1:18" s="12" customFormat="1">
      <c r="D333" s="962"/>
      <c r="E333" s="961"/>
      <c r="F333" s="122"/>
      <c r="G333" s="122"/>
      <c r="H333" s="122"/>
      <c r="I333" s="271"/>
      <c r="J333" s="133"/>
      <c r="K333" s="203"/>
      <c r="L333" s="202"/>
      <c r="M333" s="202"/>
      <c r="N333" s="187"/>
    </row>
    <row r="334" spans="1:18">
      <c r="A334" s="12"/>
      <c r="B334" s="12"/>
      <c r="C334" s="12"/>
      <c r="D334" s="962"/>
      <c r="E334" s="960"/>
      <c r="F334" s="122"/>
      <c r="G334" s="122"/>
      <c r="H334" s="373"/>
      <c r="I334" s="374"/>
      <c r="J334" s="16"/>
      <c r="K334" s="273"/>
      <c r="L334" s="12"/>
      <c r="M334" s="211"/>
      <c r="N334" s="271"/>
      <c r="O334" s="12"/>
      <c r="P334" s="12"/>
    </row>
    <row r="335" spans="1:18">
      <c r="A335" s="12"/>
      <c r="B335" s="12"/>
      <c r="C335" s="12"/>
      <c r="D335" s="122"/>
      <c r="E335" s="122"/>
      <c r="F335" s="122"/>
      <c r="G335" s="122"/>
      <c r="H335" s="209"/>
      <c r="I335" s="209"/>
      <c r="J335" s="16"/>
      <c r="K335" s="210"/>
      <c r="L335" s="210"/>
      <c r="M335" s="210"/>
      <c r="N335" s="211"/>
      <c r="O335" s="12"/>
      <c r="P335" s="12"/>
    </row>
    <row r="336" spans="1:18">
      <c r="A336" s="12"/>
      <c r="B336" s="12"/>
      <c r="C336" s="205"/>
      <c r="D336" s="122"/>
      <c r="E336" s="122"/>
      <c r="F336" s="122"/>
      <c r="G336" s="12"/>
      <c r="H336" s="12"/>
      <c r="I336" s="122"/>
      <c r="J336" s="122"/>
      <c r="K336" s="122"/>
      <c r="L336" s="122"/>
      <c r="M336" s="122"/>
      <c r="N336" s="122"/>
      <c r="O336" s="12"/>
      <c r="P336" s="12"/>
    </row>
    <row r="337" spans="1:16">
      <c r="A337" s="12"/>
      <c r="B337" s="12"/>
      <c r="C337" s="122"/>
      <c r="D337" s="122"/>
      <c r="E337" s="122"/>
      <c r="F337" s="19"/>
      <c r="G337" s="12"/>
      <c r="H337" s="12"/>
      <c r="I337" s="278"/>
      <c r="J337" s="278"/>
      <c r="K337" s="278"/>
      <c r="L337" s="278"/>
      <c r="M337" s="278"/>
      <c r="N337" s="277"/>
      <c r="O337" s="12"/>
      <c r="P337" s="12"/>
    </row>
    <row r="338" spans="1:16">
      <c r="A338" s="12"/>
      <c r="B338" s="12"/>
      <c r="C338" s="122"/>
      <c r="D338" s="122"/>
      <c r="E338" s="122"/>
      <c r="F338" s="122"/>
      <c r="G338" s="12"/>
      <c r="H338" s="12"/>
      <c r="I338" s="48"/>
      <c r="J338" s="278"/>
      <c r="K338" s="278"/>
      <c r="L338" s="278"/>
      <c r="M338" s="278"/>
      <c r="N338" s="279"/>
      <c r="O338" s="12"/>
      <c r="P338" s="12"/>
    </row>
    <row r="339" spans="1:16">
      <c r="A339" s="12"/>
      <c r="B339" s="12"/>
      <c r="C339" s="122"/>
      <c r="D339" s="122"/>
      <c r="E339" s="122"/>
      <c r="F339" s="122"/>
      <c r="G339" s="12"/>
      <c r="H339" s="12"/>
      <c r="I339" s="278"/>
      <c r="J339" s="278"/>
      <c r="K339" s="278"/>
      <c r="L339" s="278"/>
      <c r="M339" s="278"/>
      <c r="N339" s="229"/>
      <c r="O339" s="12"/>
      <c r="P339" s="12"/>
    </row>
    <row r="340" spans="1:16">
      <c r="A340" s="12"/>
      <c r="B340" s="12"/>
      <c r="C340" s="122"/>
      <c r="D340" s="122"/>
      <c r="E340" s="122"/>
      <c r="F340" s="122"/>
      <c r="G340" s="12"/>
      <c r="H340" s="12"/>
      <c r="I340" s="278"/>
      <c r="J340" s="278"/>
      <c r="K340" s="278"/>
      <c r="L340" s="278"/>
      <c r="M340" s="278"/>
      <c r="N340" s="122"/>
      <c r="O340" s="12"/>
      <c r="P340" s="12"/>
    </row>
    <row r="341" spans="1:16">
      <c r="A341" s="12"/>
      <c r="B341" s="12"/>
      <c r="C341" s="122"/>
      <c r="D341" s="122"/>
      <c r="E341" s="122"/>
      <c r="F341" s="122"/>
      <c r="G341" s="12"/>
      <c r="H341" s="12"/>
      <c r="I341" s="278"/>
      <c r="J341" s="12"/>
      <c r="K341" s="278"/>
      <c r="L341" s="278"/>
      <c r="M341" s="278"/>
      <c r="N341" s="280"/>
      <c r="O341" s="12"/>
      <c r="P341" s="12"/>
    </row>
    <row r="342" spans="1:16" ht="18">
      <c r="A342" s="12"/>
      <c r="B342" s="12"/>
      <c r="C342" s="122"/>
      <c r="D342" s="970">
        <f>D312</f>
        <v>0</v>
      </c>
      <c r="E342" s="971"/>
      <c r="F342" s="971"/>
      <c r="G342" s="971"/>
      <c r="H342" s="971"/>
      <c r="I342" s="971"/>
      <c r="J342" s="971"/>
      <c r="K342" s="971"/>
      <c r="L342" s="971"/>
      <c r="M342" s="971"/>
      <c r="N342" s="971"/>
      <c r="O342" s="971"/>
      <c r="P342" s="972"/>
    </row>
    <row r="343" spans="1:16" ht="14" thickBot="1">
      <c r="A343" s="12"/>
      <c r="B343" s="12"/>
      <c r="C343" s="205"/>
      <c r="D343" s="1016" t="s">
        <v>682</v>
      </c>
      <c r="E343" s="1017"/>
      <c r="F343" s="1017"/>
      <c r="G343" s="1017"/>
      <c r="H343" s="1017"/>
      <c r="I343" s="1017"/>
      <c r="J343" s="1017"/>
      <c r="K343" s="1017"/>
      <c r="L343" s="1017"/>
      <c r="M343" s="1017"/>
      <c r="N343" s="1017"/>
      <c r="O343" s="1017"/>
      <c r="P343" s="1018"/>
    </row>
    <row r="344" spans="1:16">
      <c r="A344" s="12"/>
      <c r="B344" s="12"/>
      <c r="C344" s="122"/>
      <c r="D344" s="973" t="s">
        <v>281</v>
      </c>
      <c r="E344" s="966"/>
      <c r="F344" s="966"/>
      <c r="G344" s="966"/>
      <c r="H344" s="966"/>
      <c r="I344" s="966"/>
      <c r="J344" s="966"/>
      <c r="K344" s="974"/>
      <c r="L344" s="12"/>
    </row>
    <row r="345" spans="1:16">
      <c r="A345" s="12"/>
      <c r="B345" s="12"/>
      <c r="C345" s="122"/>
      <c r="D345" s="956"/>
      <c r="E345" s="956"/>
      <c r="F345" s="975" t="s">
        <v>683</v>
      </c>
      <c r="G345" s="976"/>
      <c r="H345" s="977"/>
      <c r="I345" s="977"/>
      <c r="J345" s="977"/>
      <c r="K345" s="978"/>
      <c r="L345" s="12"/>
    </row>
    <row r="346" spans="1:16">
      <c r="A346" s="12"/>
      <c r="B346" s="12"/>
      <c r="C346" s="205"/>
      <c r="D346" s="956"/>
      <c r="E346" s="956"/>
      <c r="F346" s="979"/>
      <c r="G346" s="980"/>
      <c r="H346" s="981"/>
      <c r="I346" s="981"/>
      <c r="J346" s="981"/>
      <c r="K346" s="982"/>
      <c r="L346" s="12"/>
    </row>
    <row r="347" spans="1:16">
      <c r="A347" s="12"/>
      <c r="B347" s="12"/>
      <c r="C347" s="122"/>
      <c r="D347" s="956"/>
      <c r="E347" s="956"/>
      <c r="F347" s="983">
        <v>2013</v>
      </c>
      <c r="G347" s="1029" t="s">
        <v>693</v>
      </c>
      <c r="H347" s="1029" t="s">
        <v>694</v>
      </c>
      <c r="I347" s="1029" t="s">
        <v>695</v>
      </c>
      <c r="J347" s="1029" t="s">
        <v>696</v>
      </c>
      <c r="K347" s="1030" t="s">
        <v>697</v>
      </c>
      <c r="L347" s="12" t="s">
        <v>698</v>
      </c>
    </row>
    <row r="348" spans="1:16">
      <c r="A348" s="12"/>
      <c r="B348" s="12"/>
      <c r="C348" s="122"/>
      <c r="D348" s="957"/>
      <c r="E348" s="956"/>
      <c r="F348" s="986"/>
      <c r="G348" s="986"/>
      <c r="H348" s="986"/>
      <c r="I348" s="986"/>
      <c r="J348" s="986"/>
      <c r="K348" s="987"/>
      <c r="L348" s="12"/>
    </row>
    <row r="349" spans="1:16">
      <c r="A349" s="12"/>
      <c r="B349" s="12"/>
      <c r="C349" s="122"/>
      <c r="D349" s="956" t="s">
        <v>663</v>
      </c>
      <c r="E349" s="957"/>
      <c r="F349" s="988"/>
      <c r="G349" s="988">
        <f t="shared" ref="G349:L349" si="86">F351</f>
        <v>80.8</v>
      </c>
      <c r="H349" s="988">
        <f t="shared" ca="1" si="86"/>
        <v>204.17160857739765</v>
      </c>
      <c r="I349" s="988">
        <f t="shared" ca="1" si="86"/>
        <v>282.71927850829587</v>
      </c>
      <c r="J349" s="988">
        <f t="shared" ca="1" si="86"/>
        <v>427.83470914486992</v>
      </c>
      <c r="K349" s="988">
        <f t="shared" ca="1" si="86"/>
        <v>589.10817937343177</v>
      </c>
      <c r="L349" s="988">
        <f t="shared" ca="1" si="86"/>
        <v>775.62170969674639</v>
      </c>
    </row>
    <row r="350" spans="1:16">
      <c r="A350" s="12"/>
      <c r="B350" s="12"/>
      <c r="C350" s="122"/>
      <c r="D350" s="956" t="s">
        <v>664</v>
      </c>
      <c r="E350" s="957"/>
      <c r="F350" s="990"/>
      <c r="G350" s="990">
        <f t="shared" ref="G350:L350" ca="1" si="87">I150</f>
        <v>123.37160857739764</v>
      </c>
      <c r="H350" s="990">
        <f t="shared" ca="1" si="87"/>
        <v>78.547669930898223</v>
      </c>
      <c r="I350" s="990">
        <f t="shared" ca="1" si="87"/>
        <v>145.11543063657405</v>
      </c>
      <c r="J350" s="990">
        <f t="shared" ca="1" si="87"/>
        <v>161.27347022856179</v>
      </c>
      <c r="K350" s="990">
        <f t="shared" ca="1" si="87"/>
        <v>186.51353032331463</v>
      </c>
      <c r="L350" s="990">
        <f t="shared" ca="1" si="87"/>
        <v>31.273438996508048</v>
      </c>
    </row>
    <row r="351" spans="1:16">
      <c r="A351" s="12"/>
      <c r="B351" s="12"/>
      <c r="C351" s="122"/>
      <c r="D351" s="956" t="s">
        <v>665</v>
      </c>
      <c r="E351" s="957"/>
      <c r="F351" s="991">
        <f>H152</f>
        <v>80.8</v>
      </c>
      <c r="G351" s="989">
        <f t="shared" ref="G351:L351" ca="1" si="88">SUM(G349:G350)</f>
        <v>204.17160857739765</v>
      </c>
      <c r="H351" s="989">
        <f t="shared" ca="1" si="88"/>
        <v>282.71927850829587</v>
      </c>
      <c r="I351" s="989">
        <f t="shared" ca="1" si="88"/>
        <v>427.83470914486992</v>
      </c>
      <c r="J351" s="989">
        <f t="shared" ca="1" si="88"/>
        <v>589.10817937343177</v>
      </c>
      <c r="K351" s="989">
        <f t="shared" ca="1" si="88"/>
        <v>775.62170969674639</v>
      </c>
      <c r="L351" s="989">
        <f t="shared" ca="1" si="88"/>
        <v>806.89514869325444</v>
      </c>
    </row>
    <row r="352" spans="1:16">
      <c r="A352" s="12"/>
      <c r="B352" s="12"/>
      <c r="C352" s="122"/>
      <c r="D352" s="956"/>
      <c r="E352" s="957"/>
      <c r="F352" s="986"/>
      <c r="G352" s="986"/>
      <c r="H352" s="986"/>
      <c r="I352" s="986"/>
      <c r="J352" s="986"/>
      <c r="K352" s="986"/>
      <c r="L352" s="12"/>
    </row>
    <row r="353" spans="1:18">
      <c r="A353" s="12"/>
      <c r="B353" s="12"/>
      <c r="C353" s="205"/>
      <c r="D353" s="956" t="s">
        <v>666</v>
      </c>
      <c r="E353" s="957"/>
      <c r="F353" s="957"/>
      <c r="G353" s="992">
        <f>Assumptions!$J$14</f>
        <v>0.01</v>
      </c>
      <c r="H353" s="992">
        <f>Assumptions!$J$14</f>
        <v>0.01</v>
      </c>
      <c r="I353" s="992">
        <f>Assumptions!$J$14</f>
        <v>0.01</v>
      </c>
      <c r="J353" s="992">
        <f>Assumptions!$J$14</f>
        <v>0.01</v>
      </c>
      <c r="K353" s="992">
        <f>Assumptions!$J$14</f>
        <v>0.01</v>
      </c>
      <c r="L353" s="992">
        <f>Assumptions!$J$14</f>
        <v>0.01</v>
      </c>
    </row>
    <row r="354" spans="1:18">
      <c r="A354" s="12"/>
      <c r="B354" s="12"/>
      <c r="C354" s="122"/>
      <c r="D354" s="955" t="s">
        <v>667</v>
      </c>
      <c r="E354" s="957"/>
      <c r="F354" s="993"/>
      <c r="G354" s="994">
        <f t="shared" ref="G354:L354" ca="1" si="89">AVERAGE(F351:G351)*G353</f>
        <v>1.4248580428869884</v>
      </c>
      <c r="H354" s="994">
        <f t="shared" ca="1" si="89"/>
        <v>2.4344544354284676</v>
      </c>
      <c r="I354" s="994">
        <f t="shared" ca="1" si="89"/>
        <v>3.5527699382658291</v>
      </c>
      <c r="J354" s="994">
        <f t="shared" ca="1" si="89"/>
        <v>5.0847144425915092</v>
      </c>
      <c r="K354" s="994">
        <f t="shared" ca="1" si="89"/>
        <v>6.8236494453508909</v>
      </c>
      <c r="L354" s="994">
        <f t="shared" ca="1" si="89"/>
        <v>7.9125842919500045</v>
      </c>
    </row>
    <row r="355" spans="1:18">
      <c r="A355" s="12"/>
      <c r="B355" s="12"/>
      <c r="C355" s="122"/>
      <c r="D355" s="956"/>
      <c r="E355" s="956"/>
      <c r="F355" s="986"/>
      <c r="G355" s="986"/>
      <c r="H355" s="986"/>
      <c r="I355" s="986"/>
      <c r="J355" s="986"/>
      <c r="K355" s="986"/>
      <c r="L355" s="12"/>
    </row>
    <row r="356" spans="1:18">
      <c r="A356" s="12"/>
      <c r="B356" s="12"/>
      <c r="C356" s="122"/>
      <c r="D356" s="957"/>
      <c r="E356" s="956"/>
      <c r="F356" s="986"/>
      <c r="G356" s="986"/>
      <c r="H356" s="986"/>
      <c r="I356" s="986"/>
      <c r="J356" s="986"/>
      <c r="K356" s="986"/>
      <c r="L356" s="12"/>
    </row>
    <row r="357" spans="1:18">
      <c r="A357" s="12"/>
      <c r="B357" s="12"/>
      <c r="C357" s="122"/>
      <c r="D357" s="958" t="s">
        <v>668</v>
      </c>
      <c r="E357" s="957"/>
      <c r="F357" s="996"/>
      <c r="G357" s="996">
        <f t="shared" ref="G357:K357" ca="1" si="90">I122</f>
        <v>709.48835758667178</v>
      </c>
      <c r="H357" s="996">
        <f t="shared" ca="1" si="90"/>
        <v>665.40659125191655</v>
      </c>
      <c r="I357" s="996">
        <f t="shared" ca="1" si="90"/>
        <v>704.62184293973041</v>
      </c>
      <c r="J357" s="996">
        <f t="shared" ca="1" si="90"/>
        <v>727.52651311513227</v>
      </c>
      <c r="K357" s="996">
        <f t="shared" ca="1" si="90"/>
        <v>760.60880665783884</v>
      </c>
      <c r="L357" s="996">
        <f ca="1">N122</f>
        <v>566.35406704082561</v>
      </c>
    </row>
    <row r="358" spans="1:18">
      <c r="A358" s="12"/>
      <c r="B358" s="12"/>
      <c r="C358" s="122"/>
      <c r="D358" s="958" t="s">
        <v>669</v>
      </c>
      <c r="E358" s="957"/>
      <c r="F358" s="996"/>
      <c r="G358" s="996">
        <f t="shared" ref="G358:L358" si="91">I135</f>
        <v>-289.26666666666671</v>
      </c>
      <c r="H358" s="996">
        <f t="shared" si="91"/>
        <v>-294.63313777777785</v>
      </c>
      <c r="I358" s="996">
        <f t="shared" si="91"/>
        <v>-264.17037037037039</v>
      </c>
      <c r="J358" s="996">
        <f t="shared" si="91"/>
        <v>-265.87716049382715</v>
      </c>
      <c r="K358" s="996">
        <f t="shared" si="91"/>
        <v>-266.0917695473251</v>
      </c>
      <c r="L358" s="996">
        <f t="shared" si="91"/>
        <v>-202.32976680384087</v>
      </c>
    </row>
    <row r="359" spans="1:18">
      <c r="A359" s="12"/>
      <c r="B359" s="12"/>
      <c r="C359" s="122"/>
      <c r="D359" s="958" t="s">
        <v>670</v>
      </c>
      <c r="E359" s="957"/>
      <c r="F359" s="996"/>
      <c r="G359" s="996">
        <f>G372+G380+G389-G397</f>
        <v>-15.399999999999999</v>
      </c>
      <c r="H359" s="996">
        <f t="shared" ref="H359:L359" si="92">H372+H380+H389-H397</f>
        <v>-207.39999999999998</v>
      </c>
      <c r="I359" s="996">
        <f t="shared" si="92"/>
        <v>-7.1</v>
      </c>
      <c r="J359" s="996">
        <f t="shared" si="92"/>
        <v>-6.6</v>
      </c>
      <c r="K359" s="996">
        <f t="shared" si="92"/>
        <v>-5.8000000000000007</v>
      </c>
      <c r="L359" s="996">
        <f t="shared" si="92"/>
        <v>-24.8</v>
      </c>
    </row>
    <row r="360" spans="1:18">
      <c r="A360" s="12"/>
      <c r="B360" s="12"/>
      <c r="C360" s="12"/>
      <c r="D360" s="958" t="s">
        <v>90</v>
      </c>
      <c r="E360" s="957"/>
      <c r="F360" s="997"/>
      <c r="G360" s="997">
        <f t="shared" ref="G360:L360" si="93">G421</f>
        <v>-90.631317419990069</v>
      </c>
      <c r="H360" s="997">
        <f t="shared" si="93"/>
        <v>-90.631317419990069</v>
      </c>
      <c r="I360" s="997">
        <f t="shared" si="93"/>
        <v>-88.658577335915624</v>
      </c>
      <c r="J360" s="997">
        <f t="shared" si="93"/>
        <v>-86.67298965413525</v>
      </c>
      <c r="K360" s="997">
        <f t="shared" si="93"/>
        <v>-84.630271548501142</v>
      </c>
      <c r="L360" s="997">
        <f t="shared" si="93"/>
        <v>-82.486571548501146</v>
      </c>
    </row>
    <row r="361" spans="1:18">
      <c r="A361" s="12"/>
      <c r="B361" s="12"/>
      <c r="C361" s="12"/>
      <c r="D361" s="958" t="s">
        <v>671</v>
      </c>
      <c r="E361" s="957"/>
      <c r="F361" s="997"/>
      <c r="G361" s="997">
        <f t="shared" ref="G361:L361" si="94">IF(G416&lt;0,G416,0)</f>
        <v>-22.722173587741427</v>
      </c>
      <c r="H361" s="997">
        <f t="shared" si="94"/>
        <v>0</v>
      </c>
      <c r="I361" s="997">
        <f t="shared" si="94"/>
        <v>-22.371279303937079</v>
      </c>
      <c r="J361" s="997">
        <f t="shared" si="94"/>
        <v>-22.516973710911461</v>
      </c>
      <c r="K361" s="997">
        <f t="shared" si="94"/>
        <v>-23.16484449688167</v>
      </c>
      <c r="L361" s="997">
        <f t="shared" si="94"/>
        <v>-24.31</v>
      </c>
      <c r="R361" s="12"/>
    </row>
    <row r="362" spans="1:18">
      <c r="A362" s="12"/>
      <c r="B362" s="12"/>
      <c r="C362" s="12"/>
      <c r="D362" s="959" t="s">
        <v>672</v>
      </c>
      <c r="E362" s="957"/>
      <c r="F362" s="993"/>
      <c r="G362" s="998">
        <f t="shared" ref="G362:L362" ca="1" si="95">SUM(G357:G361)</f>
        <v>291.46819991227358</v>
      </c>
      <c r="H362" s="998">
        <f t="shared" ca="1" si="95"/>
        <v>72.742136054148659</v>
      </c>
      <c r="I362" s="998">
        <f t="shared" ca="1" si="95"/>
        <v>322.32161592950729</v>
      </c>
      <c r="J362" s="998">
        <f t="shared" ca="1" si="95"/>
        <v>345.85938925625834</v>
      </c>
      <c r="K362" s="998">
        <f t="shared" ca="1" si="95"/>
        <v>380.92192106513096</v>
      </c>
      <c r="L362" s="998">
        <f t="shared" ca="1" si="95"/>
        <v>232.42772868848357</v>
      </c>
    </row>
    <row r="363" spans="1:18">
      <c r="A363" s="12"/>
      <c r="B363" s="12"/>
      <c r="C363" s="12"/>
      <c r="D363" s="956"/>
      <c r="E363" s="957"/>
      <c r="F363" s="986"/>
      <c r="G363" s="986"/>
      <c r="H363" s="986"/>
      <c r="I363" s="986"/>
      <c r="J363" s="986"/>
      <c r="K363" s="986"/>
      <c r="L363" s="12"/>
    </row>
    <row r="364" spans="1:18">
      <c r="A364" s="12"/>
      <c r="B364" s="12"/>
      <c r="C364" s="12"/>
      <c r="D364" s="956" t="s">
        <v>673</v>
      </c>
      <c r="E364" s="957"/>
      <c r="F364" s="988"/>
      <c r="G364" s="988">
        <f>F366</f>
        <v>2</v>
      </c>
      <c r="H364" s="988">
        <f>G366</f>
        <v>2</v>
      </c>
      <c r="I364" s="988">
        <f>H366</f>
        <v>2</v>
      </c>
      <c r="J364" s="988">
        <f>I366</f>
        <v>2</v>
      </c>
      <c r="K364" s="988">
        <f>J366</f>
        <v>2</v>
      </c>
      <c r="L364" s="12"/>
    </row>
    <row r="365" spans="1:18">
      <c r="A365" s="12"/>
      <c r="B365" s="12"/>
      <c r="C365" s="12"/>
      <c r="D365" s="956" t="s">
        <v>674</v>
      </c>
      <c r="E365" s="957"/>
      <c r="F365" s="999"/>
      <c r="G365" s="999">
        <f>[6]Assumptions!E177</f>
        <v>0</v>
      </c>
      <c r="H365" s="999">
        <f>[6]Assumptions!F177</f>
        <v>0</v>
      </c>
      <c r="I365" s="999">
        <f>[6]Assumptions!G177</f>
        <v>0</v>
      </c>
      <c r="J365" s="999">
        <f>[6]Assumptions!H177</f>
        <v>0</v>
      </c>
      <c r="K365" s="999">
        <f>[6]Assumptions!I177</f>
        <v>0</v>
      </c>
      <c r="L365" s="12"/>
    </row>
    <row r="366" spans="1:18">
      <c r="A366" s="12"/>
      <c r="B366" s="12"/>
      <c r="C366" s="12"/>
      <c r="D366" s="956" t="s">
        <v>675</v>
      </c>
      <c r="E366" s="957"/>
      <c r="F366" s="991">
        <f>H188</f>
        <v>2</v>
      </c>
      <c r="G366" s="989">
        <f>SUM(G364:G365)</f>
        <v>2</v>
      </c>
      <c r="H366" s="989">
        <f>SUM(H364:H365)</f>
        <v>2</v>
      </c>
      <c r="I366" s="989">
        <f>SUM(I364:I365)</f>
        <v>2</v>
      </c>
      <c r="J366" s="989">
        <f>SUM(J364:J365)</f>
        <v>2</v>
      </c>
      <c r="K366" s="989">
        <f>SUM(K364:K365)</f>
        <v>2</v>
      </c>
      <c r="L366" s="12"/>
    </row>
    <row r="367" spans="1:18">
      <c r="A367" s="12"/>
      <c r="B367" s="12"/>
      <c r="C367" s="12"/>
      <c r="D367" s="956"/>
      <c r="E367" s="957"/>
      <c r="F367" s="986"/>
      <c r="G367" s="986"/>
      <c r="H367" s="986"/>
      <c r="I367" s="986"/>
      <c r="J367" s="986"/>
      <c r="K367" s="986"/>
      <c r="L367" s="12"/>
    </row>
    <row r="368" spans="1:18">
      <c r="A368" s="12"/>
      <c r="B368" s="12"/>
      <c r="C368" s="12"/>
      <c r="D368" s="956" t="s">
        <v>666</v>
      </c>
      <c r="E368" s="957"/>
      <c r="F368" s="965"/>
      <c r="G368" s="1000">
        <f>Assumptions!$J$15</f>
        <v>0.03</v>
      </c>
      <c r="H368" s="1001">
        <f>G368</f>
        <v>0.03</v>
      </c>
      <c r="I368" s="1001">
        <f>H368</f>
        <v>0.03</v>
      </c>
      <c r="J368" s="1001">
        <f>I368</f>
        <v>0.03</v>
      </c>
      <c r="K368" s="1001">
        <f>J368</f>
        <v>0.03</v>
      </c>
      <c r="L368" s="12"/>
    </row>
    <row r="369" spans="1:12" s="12" customFormat="1">
      <c r="D369" s="955" t="s">
        <v>676</v>
      </c>
      <c r="E369" s="957"/>
      <c r="F369" s="993"/>
      <c r="G369" s="994">
        <f>AVERAGE(F366:G366)*G368</f>
        <v>0.06</v>
      </c>
      <c r="H369" s="994">
        <f>AVERAGE(G366:H366)*H368</f>
        <v>0.06</v>
      </c>
      <c r="I369" s="994">
        <f>AVERAGE(H366:I366)*I368</f>
        <v>0.06</v>
      </c>
      <c r="J369" s="994">
        <f>AVERAGE(I366:J366)*J368</f>
        <v>0.06</v>
      </c>
      <c r="K369" s="994">
        <f>AVERAGE(J366:K366)*K368</f>
        <v>0.06</v>
      </c>
      <c r="L369" s="58"/>
    </row>
    <row r="370" spans="1:12" s="12" customFormat="1">
      <c r="D370" s="955"/>
      <c r="E370" s="957"/>
      <c r="F370" s="989"/>
      <c r="G370" s="993"/>
      <c r="H370" s="993"/>
      <c r="I370" s="993"/>
      <c r="J370" s="993"/>
      <c r="K370" s="993"/>
      <c r="L370" s="58"/>
    </row>
    <row r="371" spans="1:12" s="12" customFormat="1">
      <c r="D371" s="956" t="s">
        <v>721</v>
      </c>
      <c r="E371" s="957"/>
      <c r="F371" s="988"/>
      <c r="G371" s="988">
        <f t="shared" ref="G371:L371" si="96">F373</f>
        <v>28.1</v>
      </c>
      <c r="H371" s="988">
        <f t="shared" si="96"/>
        <v>19.5</v>
      </c>
      <c r="I371" s="988">
        <f t="shared" si="96"/>
        <v>17.8</v>
      </c>
      <c r="J371" s="988">
        <f t="shared" si="96"/>
        <v>16.7</v>
      </c>
      <c r="K371" s="988">
        <f t="shared" si="96"/>
        <v>15.899999999999999</v>
      </c>
      <c r="L371" s="988">
        <f t="shared" si="96"/>
        <v>15.499999999999998</v>
      </c>
    </row>
    <row r="372" spans="1:12" s="12" customFormat="1">
      <c r="D372" s="956" t="s">
        <v>674</v>
      </c>
      <c r="E372" s="957"/>
      <c r="F372" s="999"/>
      <c r="G372" s="999">
        <f>-Assumptions!B82</f>
        <v>-8.6</v>
      </c>
      <c r="H372" s="999">
        <f>-Assumptions!C82</f>
        <v>-1.7</v>
      </c>
      <c r="I372" s="999">
        <f>-Assumptions!D82</f>
        <v>-1.1000000000000001</v>
      </c>
      <c r="J372" s="999">
        <f>-Assumptions!E82</f>
        <v>-0.8</v>
      </c>
      <c r="K372" s="999">
        <f>-Assumptions!F82</f>
        <v>-0.4</v>
      </c>
      <c r="L372" s="999">
        <f>-Assumptions!G82</f>
        <v>-15.5</v>
      </c>
    </row>
    <row r="373" spans="1:12" s="12" customFormat="1">
      <c r="D373" s="956" t="s">
        <v>677</v>
      </c>
      <c r="E373" s="957"/>
      <c r="F373" s="991">
        <v>28.1</v>
      </c>
      <c r="G373" s="989">
        <f t="shared" ref="G373:L373" si="97">SUM(G371:G372)</f>
        <v>19.5</v>
      </c>
      <c r="H373" s="989">
        <f t="shared" si="97"/>
        <v>17.8</v>
      </c>
      <c r="I373" s="989">
        <f t="shared" si="97"/>
        <v>16.7</v>
      </c>
      <c r="J373" s="989">
        <f t="shared" si="97"/>
        <v>15.899999999999999</v>
      </c>
      <c r="K373" s="989">
        <f t="shared" si="97"/>
        <v>15.499999999999998</v>
      </c>
      <c r="L373" s="989">
        <f t="shared" si="97"/>
        <v>0</v>
      </c>
    </row>
    <row r="374" spans="1:12">
      <c r="A374" s="12"/>
      <c r="B374" s="12"/>
      <c r="C374" s="12"/>
      <c r="D374" s="955"/>
      <c r="E374" s="957"/>
      <c r="F374" s="989"/>
      <c r="G374" s="993"/>
      <c r="H374" s="993"/>
      <c r="I374" s="993"/>
      <c r="J374" s="993"/>
      <c r="K374" s="993"/>
      <c r="L374" s="12"/>
    </row>
    <row r="375" spans="1:12">
      <c r="A375" s="12"/>
      <c r="B375" s="12"/>
      <c r="C375" s="12"/>
      <c r="D375" s="956" t="s">
        <v>666</v>
      </c>
      <c r="E375" s="957"/>
      <c r="F375" s="957"/>
      <c r="G375" s="1002">
        <v>3.1600000000000003E-2</v>
      </c>
      <c r="H375" s="1002">
        <f>G375</f>
        <v>3.1600000000000003E-2</v>
      </c>
      <c r="I375" s="1002">
        <f>H375</f>
        <v>3.1600000000000003E-2</v>
      </c>
      <c r="J375" s="1002">
        <f>I375</f>
        <v>3.1600000000000003E-2</v>
      </c>
      <c r="K375" s="1002">
        <f>J375</f>
        <v>3.1600000000000003E-2</v>
      </c>
      <c r="L375" s="12"/>
    </row>
    <row r="376" spans="1:12">
      <c r="D376" s="955" t="s">
        <v>676</v>
      </c>
      <c r="E376" s="957"/>
      <c r="F376" s="1003"/>
      <c r="G376" s="994">
        <f>AVERAGE(F373:G373)*G375</f>
        <v>0.75208000000000008</v>
      </c>
      <c r="H376" s="994">
        <f>AVERAGE(G373:H373)*H375</f>
        <v>0.58933999999999997</v>
      </c>
      <c r="I376" s="994">
        <f>AVERAGE(H373:I373)*I375</f>
        <v>0.54510000000000003</v>
      </c>
      <c r="J376" s="994">
        <f>AVERAGE(I373:J373)*J375</f>
        <v>0.51507999999999998</v>
      </c>
      <c r="K376" s="994">
        <f>AVERAGE(J373:K373)*K375</f>
        <v>0.49612000000000001</v>
      </c>
      <c r="L376" s="12"/>
    </row>
    <row r="377" spans="1:12">
      <c r="D377" s="955"/>
      <c r="E377" s="957"/>
      <c r="F377" s="989"/>
      <c r="G377" s="993"/>
      <c r="H377" s="993"/>
      <c r="I377" s="993"/>
      <c r="J377" s="993"/>
      <c r="K377" s="993"/>
      <c r="L377" s="12"/>
    </row>
    <row r="378" spans="1:12">
      <c r="D378" s="957"/>
      <c r="E378" s="956"/>
      <c r="F378" s="986"/>
      <c r="G378" s="986"/>
      <c r="H378" s="986"/>
      <c r="I378" s="986"/>
      <c r="J378" s="986"/>
      <c r="K378" s="986"/>
      <c r="L378" s="12"/>
    </row>
    <row r="379" spans="1:12">
      <c r="D379" s="956" t="s">
        <v>715</v>
      </c>
      <c r="E379" s="957"/>
      <c r="F379" s="986"/>
      <c r="G379" s="986">
        <f>F381</f>
        <v>200</v>
      </c>
      <c r="H379" s="986">
        <f>G381</f>
        <v>200</v>
      </c>
      <c r="I379" s="986">
        <f>H381</f>
        <v>0</v>
      </c>
      <c r="J379" s="986">
        <f>I381</f>
        <v>0</v>
      </c>
      <c r="K379" s="986">
        <f>J381</f>
        <v>0</v>
      </c>
      <c r="L379" s="12"/>
    </row>
    <row r="380" spans="1:12">
      <c r="D380" s="956" t="s">
        <v>716</v>
      </c>
      <c r="E380" s="957"/>
      <c r="F380" s="990"/>
      <c r="G380" s="990">
        <f>-MIN(ABS([6]Assumptions!E180),G379)</f>
        <v>0</v>
      </c>
      <c r="H380" s="990">
        <f>Assumptions!C80</f>
        <v>-200</v>
      </c>
      <c r="I380" s="990">
        <f>Assumptions!D80</f>
        <v>0</v>
      </c>
      <c r="J380" s="990">
        <f>Assumptions!E80</f>
        <v>0</v>
      </c>
      <c r="K380" s="990">
        <f>Assumptions!F80</f>
        <v>0</v>
      </c>
      <c r="L380" s="12"/>
    </row>
    <row r="381" spans="1:12">
      <c r="D381" s="956" t="s">
        <v>717</v>
      </c>
      <c r="E381" s="957"/>
      <c r="F381" s="991">
        <v>200</v>
      </c>
      <c r="G381" s="989">
        <f>SUM(G379:G380)</f>
        <v>200</v>
      </c>
      <c r="H381" s="989">
        <f>SUM(H379:H380)</f>
        <v>0</v>
      </c>
      <c r="I381" s="989">
        <f>SUM(I379:I380)</f>
        <v>0</v>
      </c>
      <c r="J381" s="989">
        <f>SUM(J379:J380)</f>
        <v>0</v>
      </c>
      <c r="K381" s="989">
        <f>SUM(K379:K380)</f>
        <v>0</v>
      </c>
      <c r="L381" s="12"/>
    </row>
    <row r="382" spans="1:12">
      <c r="D382" s="956"/>
      <c r="E382" s="957"/>
      <c r="F382" s="986"/>
      <c r="G382" s="986"/>
      <c r="H382" s="986"/>
      <c r="I382" s="986"/>
      <c r="J382" s="986"/>
      <c r="K382" s="986"/>
      <c r="L382" s="12"/>
    </row>
    <row r="383" spans="1:12">
      <c r="D383" s="956" t="s">
        <v>666</v>
      </c>
      <c r="E383" s="957"/>
      <c r="F383" s="965"/>
      <c r="G383" s="1002">
        <v>4.9799999999999997E-2</v>
      </c>
      <c r="H383" s="1002">
        <f>G383</f>
        <v>4.9799999999999997E-2</v>
      </c>
      <c r="I383" s="1002">
        <f>H383</f>
        <v>4.9799999999999997E-2</v>
      </c>
      <c r="J383" s="1002">
        <f>I383</f>
        <v>4.9799999999999997E-2</v>
      </c>
      <c r="K383" s="1002">
        <f>J383</f>
        <v>4.9799999999999997E-2</v>
      </c>
      <c r="L383" s="12"/>
    </row>
    <row r="384" spans="1:12">
      <c r="D384" s="955" t="s">
        <v>676</v>
      </c>
      <c r="E384" s="957"/>
      <c r="F384" s="993"/>
      <c r="G384" s="994">
        <f>AVERAGE(F381:G381)*G383</f>
        <v>9.9599999999999991</v>
      </c>
      <c r="H384" s="994">
        <f>AVERAGE(G381:H381)*H383</f>
        <v>4.9799999999999995</v>
      </c>
      <c r="I384" s="994">
        <f>AVERAGE(H381:I381)*I383</f>
        <v>0</v>
      </c>
      <c r="J384" s="994">
        <f>AVERAGE(I381:J381)*J383</f>
        <v>0</v>
      </c>
      <c r="K384" s="994">
        <f>AVERAGE(J381:K381)*K383</f>
        <v>0</v>
      </c>
      <c r="L384" s="12"/>
    </row>
    <row r="385" spans="2:12">
      <c r="D385" s="955"/>
      <c r="E385" s="957"/>
      <c r="F385" s="993"/>
      <c r="G385" s="993"/>
      <c r="H385" s="993"/>
      <c r="I385" s="993"/>
      <c r="J385" s="993"/>
      <c r="K385" s="993"/>
      <c r="L385" s="12"/>
    </row>
    <row r="386" spans="2:12">
      <c r="D386" s="956"/>
      <c r="E386" s="957"/>
      <c r="F386" s="986"/>
      <c r="G386" s="986"/>
      <c r="H386" s="986"/>
      <c r="I386" s="986"/>
      <c r="J386" s="986"/>
      <c r="K386" s="986"/>
      <c r="L386" s="12"/>
    </row>
    <row r="387" spans="2:12">
      <c r="D387" s="955"/>
      <c r="E387" s="957"/>
      <c r="F387" s="993"/>
      <c r="G387" s="993"/>
      <c r="H387" s="993"/>
      <c r="I387" s="993"/>
      <c r="J387" s="993"/>
      <c r="K387" s="993"/>
      <c r="L387" s="12"/>
    </row>
    <row r="388" spans="2:12">
      <c r="D388" s="956" t="s">
        <v>718</v>
      </c>
      <c r="E388" s="957"/>
      <c r="F388" s="986"/>
      <c r="G388" s="986">
        <f t="shared" ref="G388:L388" si="98">F390</f>
        <v>400</v>
      </c>
      <c r="H388" s="986">
        <f t="shared" si="98"/>
        <v>400</v>
      </c>
      <c r="I388" s="986">
        <f t="shared" si="98"/>
        <v>400</v>
      </c>
      <c r="J388" s="986">
        <f t="shared" si="98"/>
        <v>400</v>
      </c>
      <c r="K388" s="986">
        <f t="shared" si="98"/>
        <v>400</v>
      </c>
      <c r="L388" s="986">
        <f t="shared" si="98"/>
        <v>400</v>
      </c>
    </row>
    <row r="389" spans="2:12">
      <c r="D389" s="956" t="s">
        <v>719</v>
      </c>
      <c r="E389" s="957"/>
      <c r="F389" s="990"/>
      <c r="G389" s="990">
        <f>Assumptions!B81</f>
        <v>0</v>
      </c>
      <c r="H389" s="990">
        <f>Assumptions!C81</f>
        <v>0</v>
      </c>
      <c r="I389" s="990">
        <f>Assumptions!D81</f>
        <v>0</v>
      </c>
      <c r="J389" s="990">
        <f>Assumptions!E81</f>
        <v>0</v>
      </c>
      <c r="K389" s="990">
        <f>Assumptions!F81</f>
        <v>0</v>
      </c>
      <c r="L389" s="990">
        <f>Assumptions!G81</f>
        <v>0</v>
      </c>
    </row>
    <row r="390" spans="2:12">
      <c r="D390" s="956" t="s">
        <v>720</v>
      </c>
      <c r="E390" s="957"/>
      <c r="F390" s="991">
        <v>400</v>
      </c>
      <c r="G390" s="989">
        <f t="shared" ref="G390:L390" si="99">SUM(G388:G389)</f>
        <v>400</v>
      </c>
      <c r="H390" s="989">
        <f t="shared" si="99"/>
        <v>400</v>
      </c>
      <c r="I390" s="989">
        <f t="shared" si="99"/>
        <v>400</v>
      </c>
      <c r="J390" s="989">
        <f t="shared" si="99"/>
        <v>400</v>
      </c>
      <c r="K390" s="989">
        <f t="shared" si="99"/>
        <v>400</v>
      </c>
      <c r="L390" s="989">
        <f t="shared" si="99"/>
        <v>400</v>
      </c>
    </row>
    <row r="391" spans="2:12">
      <c r="D391" s="956"/>
      <c r="E391" s="957"/>
      <c r="F391" s="986"/>
      <c r="G391" s="986"/>
      <c r="H391" s="986"/>
      <c r="I391" s="986"/>
      <c r="J391" s="986"/>
      <c r="K391" s="986"/>
      <c r="L391" s="12"/>
    </row>
    <row r="392" spans="2:12">
      <c r="D392" s="956" t="s">
        <v>666</v>
      </c>
      <c r="E392" s="957"/>
      <c r="F392" s="957"/>
      <c r="G392" s="1002">
        <f>Assumptions!J19</f>
        <v>5.9700000000000003E-2</v>
      </c>
      <c r="H392" s="1002">
        <f>G392</f>
        <v>5.9700000000000003E-2</v>
      </c>
      <c r="I392" s="1002">
        <f>H392</f>
        <v>5.9700000000000003E-2</v>
      </c>
      <c r="J392" s="1002">
        <f>I392</f>
        <v>5.9700000000000003E-2</v>
      </c>
      <c r="K392" s="1002">
        <f>J392</f>
        <v>5.9700000000000003E-2</v>
      </c>
      <c r="L392" s="1002">
        <f>K392</f>
        <v>5.9700000000000003E-2</v>
      </c>
    </row>
    <row r="393" spans="2:12">
      <c r="D393" s="955" t="s">
        <v>676</v>
      </c>
      <c r="E393" s="957"/>
      <c r="F393" s="993"/>
      <c r="G393" s="994">
        <f t="shared" ref="G393:L393" si="100">AVERAGE(F390:G390)*G392</f>
        <v>23.880000000000003</v>
      </c>
      <c r="H393" s="994">
        <f t="shared" si="100"/>
        <v>23.880000000000003</v>
      </c>
      <c r="I393" s="994">
        <f t="shared" si="100"/>
        <v>23.880000000000003</v>
      </c>
      <c r="J393" s="994">
        <f t="shared" si="100"/>
        <v>23.880000000000003</v>
      </c>
      <c r="K393" s="994">
        <f t="shared" si="100"/>
        <v>23.880000000000003</v>
      </c>
      <c r="L393" s="994">
        <f t="shared" si="100"/>
        <v>23.880000000000003</v>
      </c>
    </row>
    <row r="394" spans="2:12">
      <c r="D394" s="955"/>
      <c r="E394" s="957"/>
      <c r="F394" s="993"/>
      <c r="G394" s="993"/>
      <c r="H394" s="993"/>
      <c r="I394" s="993"/>
      <c r="J394" s="993"/>
      <c r="K394" s="993"/>
      <c r="L394" s="993"/>
    </row>
    <row r="395" spans="2:12">
      <c r="B395" s="3" t="s">
        <v>725</v>
      </c>
      <c r="D395" s="955"/>
      <c r="E395" s="957"/>
      <c r="F395" s="993"/>
      <c r="G395" s="993"/>
      <c r="H395" s="993"/>
      <c r="I395" s="993"/>
      <c r="J395" s="993"/>
      <c r="K395" s="993"/>
      <c r="L395" s="993"/>
    </row>
    <row r="396" spans="2:12">
      <c r="B396" s="3" t="s">
        <v>724</v>
      </c>
      <c r="D396" s="955" t="s">
        <v>726</v>
      </c>
      <c r="E396" s="957"/>
      <c r="F396" s="993"/>
      <c r="G396" s="993">
        <f>F398</f>
        <v>39</v>
      </c>
      <c r="H396" s="993">
        <f t="shared" ref="H396:L396" si="101">G398</f>
        <v>32.200000000000003</v>
      </c>
      <c r="I396" s="993">
        <f t="shared" si="101"/>
        <v>26.500000000000004</v>
      </c>
      <c r="J396" s="993">
        <f t="shared" si="101"/>
        <v>20.500000000000004</v>
      </c>
      <c r="K396" s="993">
        <f t="shared" si="101"/>
        <v>14.700000000000003</v>
      </c>
      <c r="L396" s="993">
        <f t="shared" si="101"/>
        <v>9.3000000000000025</v>
      </c>
    </row>
    <row r="397" spans="2:12">
      <c r="B397" s="3" t="s">
        <v>723</v>
      </c>
      <c r="D397" s="955" t="s">
        <v>727</v>
      </c>
      <c r="E397" s="957"/>
      <c r="F397" s="993"/>
      <c r="G397" s="993">
        <f>-Assumptions!B78</f>
        <v>6.8</v>
      </c>
      <c r="H397" s="993">
        <f>-Assumptions!C78</f>
        <v>5.7</v>
      </c>
      <c r="I397" s="993">
        <f>-Assumptions!D78</f>
        <v>6</v>
      </c>
      <c r="J397" s="993">
        <f>-Assumptions!E78</f>
        <v>5.8</v>
      </c>
      <c r="K397" s="993">
        <f>-Assumptions!F78</f>
        <v>5.4</v>
      </c>
      <c r="L397" s="993">
        <v>9.3000000000000007</v>
      </c>
    </row>
    <row r="398" spans="2:12">
      <c r="B398" s="3" t="s">
        <v>722</v>
      </c>
      <c r="D398" s="955" t="s">
        <v>728</v>
      </c>
      <c r="E398" s="957"/>
      <c r="F398" s="993">
        <f>39</f>
        <v>39</v>
      </c>
      <c r="G398" s="993">
        <f>G396-G397</f>
        <v>32.200000000000003</v>
      </c>
      <c r="H398" s="993">
        <f t="shared" ref="H398:L398" si="102">H396-H397</f>
        <v>26.500000000000004</v>
      </c>
      <c r="I398" s="993">
        <f t="shared" si="102"/>
        <v>20.500000000000004</v>
      </c>
      <c r="J398" s="993">
        <f t="shared" si="102"/>
        <v>14.700000000000003</v>
      </c>
      <c r="K398" s="993">
        <f t="shared" si="102"/>
        <v>9.3000000000000025</v>
      </c>
      <c r="L398" s="993">
        <f t="shared" si="102"/>
        <v>0</v>
      </c>
    </row>
    <row r="399" spans="2:12">
      <c r="D399" s="955"/>
      <c r="E399" s="957"/>
      <c r="F399" s="993"/>
      <c r="G399" s="993"/>
      <c r="H399" s="993"/>
      <c r="I399" s="993"/>
      <c r="J399" s="993"/>
      <c r="K399" s="993"/>
      <c r="L399" s="993"/>
    </row>
    <row r="400" spans="2:12">
      <c r="D400" s="955" t="s">
        <v>729</v>
      </c>
      <c r="E400" s="957"/>
      <c r="F400" s="993"/>
      <c r="G400" s="1060">
        <v>8.5999999999999993E-2</v>
      </c>
      <c r="H400" s="1061">
        <f>G400</f>
        <v>8.5999999999999993E-2</v>
      </c>
      <c r="I400" s="1061">
        <f t="shared" ref="I400:K400" si="103">H400</f>
        <v>8.5999999999999993E-2</v>
      </c>
      <c r="J400" s="1061">
        <f t="shared" si="103"/>
        <v>8.5999999999999993E-2</v>
      </c>
      <c r="K400" s="1061">
        <f t="shared" si="103"/>
        <v>8.5999999999999993E-2</v>
      </c>
      <c r="L400" s="1061">
        <f>K400</f>
        <v>8.5999999999999993E-2</v>
      </c>
    </row>
    <row r="401" spans="4:16">
      <c r="D401" s="956" t="s">
        <v>730</v>
      </c>
      <c r="E401" s="956"/>
      <c r="F401" s="986"/>
      <c r="G401" s="986">
        <f>AVERAGE(F398:G398)*G400</f>
        <v>3.0615999999999999</v>
      </c>
      <c r="H401" s="986">
        <f t="shared" ref="H401:L401" si="104">AVERAGE(G398:H398)*H400</f>
        <v>2.5240999999999998</v>
      </c>
      <c r="I401" s="986">
        <f t="shared" si="104"/>
        <v>2.0210000000000004</v>
      </c>
      <c r="J401" s="986">
        <f t="shared" si="104"/>
        <v>1.5136000000000001</v>
      </c>
      <c r="K401" s="986">
        <f t="shared" si="104"/>
        <v>1.0320000000000003</v>
      </c>
      <c r="L401" s="986">
        <f t="shared" si="104"/>
        <v>0.39990000000000009</v>
      </c>
    </row>
    <row r="402" spans="4:16">
      <c r="D402" s="956"/>
      <c r="E402" s="956"/>
      <c r="F402" s="986"/>
      <c r="G402" s="986"/>
      <c r="H402" s="986"/>
      <c r="I402" s="986"/>
      <c r="J402" s="986"/>
      <c r="K402" s="987"/>
      <c r="L402" s="12"/>
    </row>
    <row r="403" spans="4:16" ht="14" thickBot="1">
      <c r="D403" s="955" t="s">
        <v>678</v>
      </c>
      <c r="E403" s="956"/>
      <c r="F403" s="993"/>
      <c r="G403" s="1004">
        <f ca="1">-G354+G369+G376+G384+G393+G401</f>
        <v>36.288821957113015</v>
      </c>
      <c r="H403" s="1004">
        <f t="shared" ref="H403:L403" ca="1" si="105">-H354+H369+H376+H384+H393+H401</f>
        <v>29.598985564571535</v>
      </c>
      <c r="I403" s="1004">
        <f t="shared" ca="1" si="105"/>
        <v>22.953330061734174</v>
      </c>
      <c r="J403" s="1004">
        <f t="shared" ca="1" si="105"/>
        <v>20.883965557408494</v>
      </c>
      <c r="K403" s="1004">
        <f t="shared" ca="1" si="105"/>
        <v>18.644470554649111</v>
      </c>
      <c r="L403" s="1004">
        <f t="shared" ca="1" si="105"/>
        <v>16.367315708049997</v>
      </c>
    </row>
    <row r="404" spans="4:16" ht="14" thickTop="1">
      <c r="D404" s="1005"/>
      <c r="E404" s="1005"/>
      <c r="F404" s="1005"/>
      <c r="G404" s="1005"/>
      <c r="H404" s="1006"/>
      <c r="I404" s="1005"/>
      <c r="J404" s="1005"/>
      <c r="K404" s="1007"/>
      <c r="L404" s="1005"/>
      <c r="M404" s="1005"/>
      <c r="N404" s="1005"/>
      <c r="O404" s="1005"/>
      <c r="P404" s="1008"/>
    </row>
    <row r="405" spans="4:16">
      <c r="D405" s="958"/>
      <c r="E405" s="958"/>
      <c r="F405" s="958"/>
      <c r="G405" s="958"/>
      <c r="H405" s="995"/>
      <c r="I405" s="958"/>
      <c r="J405" s="958"/>
      <c r="K405" s="958"/>
      <c r="L405" s="958"/>
      <c r="M405" s="958"/>
      <c r="N405" s="958"/>
      <c r="O405" s="958"/>
      <c r="P405" s="1009"/>
    </row>
    <row r="406" spans="4:16">
      <c r="D406" s="1010"/>
      <c r="E406" s="1010"/>
      <c r="F406" s="1011"/>
      <c r="G406" s="1011"/>
      <c r="H406" s="1011"/>
      <c r="I406" s="1012">
        <f>I340</f>
        <v>0</v>
      </c>
      <c r="J406" s="1011"/>
      <c r="K406" s="1013"/>
      <c r="L406" s="1013"/>
      <c r="M406" s="1013"/>
      <c r="N406" s="1013"/>
      <c r="O406" s="1014">
        <f>O340</f>
        <v>0</v>
      </c>
      <c r="P406" s="1015"/>
    </row>
    <row r="407" spans="4:16">
      <c r="D407" s="1010"/>
      <c r="E407" s="1010"/>
      <c r="F407" s="1011"/>
      <c r="G407" s="1011"/>
      <c r="H407" s="1011"/>
      <c r="I407" s="1012"/>
      <c r="J407" s="1011"/>
      <c r="K407" s="1013"/>
      <c r="L407" s="1013"/>
      <c r="M407" s="1013"/>
      <c r="N407" s="1013"/>
      <c r="O407" s="1014"/>
      <c r="P407" s="1015"/>
    </row>
    <row r="408" spans="4:16" ht="18">
      <c r="D408" s="970">
        <f>D342</f>
        <v>0</v>
      </c>
      <c r="E408" s="971"/>
      <c r="F408" s="971"/>
      <c r="G408" s="971"/>
      <c r="H408" s="971"/>
      <c r="I408" s="971"/>
      <c r="J408" s="971"/>
      <c r="K408" s="971"/>
      <c r="L408" s="971"/>
      <c r="M408" s="971"/>
      <c r="N408" s="971"/>
      <c r="O408" s="971"/>
      <c r="P408" s="972"/>
    </row>
    <row r="409" spans="4:16" ht="14" thickBot="1">
      <c r="D409" s="1016" t="s">
        <v>684</v>
      </c>
      <c r="E409" s="1017"/>
      <c r="F409" s="1017"/>
      <c r="G409" s="1017"/>
      <c r="H409" s="1017"/>
      <c r="I409" s="1017"/>
      <c r="J409" s="1017"/>
      <c r="K409" s="1017"/>
      <c r="L409" s="1017"/>
      <c r="M409" s="1017"/>
      <c r="N409" s="1017"/>
      <c r="O409" s="1017"/>
      <c r="P409" s="1018"/>
    </row>
    <row r="410" spans="4:16">
      <c r="D410" s="973" t="s">
        <v>281</v>
      </c>
      <c r="E410" s="966"/>
      <c r="F410" s="966"/>
      <c r="G410" s="966"/>
      <c r="H410" s="957"/>
      <c r="I410" s="966"/>
      <c r="J410" s="966"/>
      <c r="K410" s="974"/>
    </row>
    <row r="411" spans="4:16">
      <c r="D411" s="965"/>
      <c r="E411" s="958"/>
      <c r="F411" s="975" t="s">
        <v>280</v>
      </c>
      <c r="G411" s="976"/>
      <c r="H411" s="977"/>
      <c r="I411" s="977"/>
      <c r="J411" s="977"/>
      <c r="K411" s="978"/>
    </row>
    <row r="412" spans="4:16">
      <c r="D412" s="956"/>
      <c r="E412" s="956"/>
      <c r="F412" s="983"/>
      <c r="G412" s="980"/>
      <c r="H412" s="957"/>
      <c r="I412" s="981"/>
      <c r="J412" s="981"/>
      <c r="K412" s="982"/>
    </row>
    <row r="413" spans="4:16">
      <c r="D413" s="956"/>
      <c r="E413" s="956"/>
      <c r="F413" s="983">
        <f t="shared" ref="F413:K413" si="106">F347</f>
        <v>2013</v>
      </c>
      <c r="G413" s="984" t="str">
        <f t="shared" si="106"/>
        <v>2014E</v>
      </c>
      <c r="H413" s="984" t="str">
        <f t="shared" si="106"/>
        <v>2015E</v>
      </c>
      <c r="I413" s="984" t="str">
        <f t="shared" si="106"/>
        <v>2016E</v>
      </c>
      <c r="J413" s="984" t="str">
        <f t="shared" si="106"/>
        <v>2017E</v>
      </c>
      <c r="K413" s="985" t="str">
        <f t="shared" si="106"/>
        <v>2018E</v>
      </c>
      <c r="L413" s="3" t="s">
        <v>709</v>
      </c>
    </row>
    <row r="414" spans="4:16">
      <c r="D414" s="958"/>
      <c r="E414" s="958"/>
      <c r="F414" s="958"/>
      <c r="G414" s="958"/>
      <c r="H414" s="958"/>
      <c r="I414" s="958"/>
      <c r="J414" s="958"/>
      <c r="K414" s="1009"/>
    </row>
    <row r="415" spans="4:16">
      <c r="D415" s="956" t="s">
        <v>663</v>
      </c>
      <c r="E415" s="958"/>
      <c r="F415" s="1019"/>
      <c r="G415" s="1019">
        <f t="shared" ref="G415:L415" si="107">F417</f>
        <v>640.4</v>
      </c>
      <c r="H415" s="1019">
        <f t="shared" si="107"/>
        <v>617.67782641225858</v>
      </c>
      <c r="I415" s="1019">
        <f t="shared" si="107"/>
        <v>617.67782641225858</v>
      </c>
      <c r="J415" s="1019">
        <f t="shared" si="107"/>
        <v>595.30654710832152</v>
      </c>
      <c r="K415" s="1020">
        <f t="shared" si="107"/>
        <v>572.78957339741009</v>
      </c>
      <c r="L415" s="1020">
        <f t="shared" si="107"/>
        <v>549.62472890052845</v>
      </c>
    </row>
    <row r="416" spans="4:16">
      <c r="D416" s="956" t="s">
        <v>685</v>
      </c>
      <c r="E416" s="958"/>
      <c r="F416" s="1021"/>
      <c r="G416" s="1021">
        <f>I140*0.11</f>
        <v>-22.722173587741427</v>
      </c>
      <c r="H416" s="1021">
        <f t="shared" ref="H416:L416" si="108">J140*0.11</f>
        <v>0</v>
      </c>
      <c r="I416" s="1021">
        <f t="shared" si="108"/>
        <v>-22.371279303937079</v>
      </c>
      <c r="J416" s="1021">
        <f t="shared" si="108"/>
        <v>-22.516973710911461</v>
      </c>
      <c r="K416" s="1021">
        <f t="shared" si="108"/>
        <v>-23.16484449688167</v>
      </c>
      <c r="L416" s="1021">
        <f t="shared" si="108"/>
        <v>-24.31</v>
      </c>
    </row>
    <row r="417" spans="4:12">
      <c r="D417" s="956" t="s">
        <v>665</v>
      </c>
      <c r="E417" s="958"/>
      <c r="F417" s="1019">
        <f>H204</f>
        <v>640.4</v>
      </c>
      <c r="G417" s="1019">
        <f>G415+G416</f>
        <v>617.67782641225858</v>
      </c>
      <c r="H417" s="1019">
        <f t="shared" ref="H417:L417" si="109">H415+H416</f>
        <v>617.67782641225858</v>
      </c>
      <c r="I417" s="1019">
        <f t="shared" si="109"/>
        <v>595.30654710832152</v>
      </c>
      <c r="J417" s="1019">
        <f t="shared" si="109"/>
        <v>572.78957339741009</v>
      </c>
      <c r="K417" s="1019">
        <f t="shared" si="109"/>
        <v>549.62472890052845</v>
      </c>
      <c r="L417" s="1019">
        <f t="shared" si="109"/>
        <v>525.31472890052851</v>
      </c>
    </row>
    <row r="418" spans="4:12">
      <c r="D418" s="958"/>
      <c r="E418" s="958"/>
      <c r="F418" s="1019"/>
      <c r="G418" s="1019"/>
      <c r="H418" s="1019"/>
      <c r="I418" s="1019"/>
      <c r="J418" s="1019"/>
      <c r="K418" s="1020"/>
    </row>
    <row r="419" spans="4:12">
      <c r="D419" s="956" t="s">
        <v>686</v>
      </c>
      <c r="E419" s="958"/>
      <c r="F419" s="957"/>
      <c r="G419" s="1059">
        <f>Assumptions!$J$7</f>
        <v>0.97</v>
      </c>
      <c r="H419" s="1059">
        <f>Assumptions!$J$7</f>
        <v>0.97</v>
      </c>
      <c r="I419" s="1059">
        <f>Assumptions!$J$7</f>
        <v>0.97</v>
      </c>
      <c r="J419" s="1059">
        <f>Assumptions!$J$7</f>
        <v>0.97</v>
      </c>
      <c r="K419" s="1059">
        <f>Assumptions!$J$7</f>
        <v>0.97</v>
      </c>
      <c r="L419" s="1059">
        <f>Assumptions!$J$7</f>
        <v>0.97</v>
      </c>
    </row>
    <row r="420" spans="4:12">
      <c r="D420" s="956" t="s">
        <v>713</v>
      </c>
      <c r="E420" s="958"/>
      <c r="F420" s="1019"/>
      <c r="G420" s="1019">
        <f>I84</f>
        <v>93.434347855659865</v>
      </c>
      <c r="H420" s="1019">
        <f t="shared" ref="H420:L420" si="110">J84</f>
        <v>93.434347855659865</v>
      </c>
      <c r="I420" s="1019">
        <f t="shared" si="110"/>
        <v>91.400595191665587</v>
      </c>
      <c r="J420" s="1019">
        <f t="shared" si="110"/>
        <v>89.353597581582733</v>
      </c>
      <c r="K420" s="1019">
        <f t="shared" si="110"/>
        <v>87.247702627320763</v>
      </c>
      <c r="L420" s="1019">
        <f t="shared" si="110"/>
        <v>85.037702627320769</v>
      </c>
    </row>
    <row r="421" spans="4:12">
      <c r="D421" s="955" t="s">
        <v>687</v>
      </c>
      <c r="E421" s="958"/>
      <c r="F421" s="1019"/>
      <c r="G421" s="1022">
        <f t="shared" ref="G421:L421" si="111">-G419*G420</f>
        <v>-90.631317419990069</v>
      </c>
      <c r="H421" s="1022">
        <f t="shared" si="111"/>
        <v>-90.631317419990069</v>
      </c>
      <c r="I421" s="1022">
        <f t="shared" si="111"/>
        <v>-88.658577335915624</v>
      </c>
      <c r="J421" s="1022">
        <f t="shared" si="111"/>
        <v>-86.67298965413525</v>
      </c>
      <c r="K421" s="1022">
        <f t="shared" si="111"/>
        <v>-84.630271548501142</v>
      </c>
      <c r="L421" s="1022">
        <f t="shared" si="111"/>
        <v>-82.486571548501146</v>
      </c>
    </row>
    <row r="422" spans="4:12">
      <c r="D422" s="958"/>
      <c r="E422" s="958"/>
      <c r="F422" s="1019"/>
      <c r="G422" s="1019"/>
      <c r="H422" s="1019"/>
      <c r="I422" s="1019"/>
      <c r="J422" s="1019"/>
      <c r="K422" s="1019"/>
    </row>
    <row r="423" spans="4:12">
      <c r="D423" s="958"/>
      <c r="E423" s="958"/>
      <c r="F423" s="1019"/>
      <c r="G423" s="1019"/>
      <c r="H423" s="1019"/>
      <c r="I423" s="1019"/>
      <c r="J423" s="1019"/>
      <c r="K423" s="1019"/>
    </row>
    <row r="424" spans="4:12">
      <c r="D424" s="958"/>
      <c r="E424" s="958"/>
      <c r="F424" s="1019"/>
      <c r="G424" s="1019"/>
      <c r="H424" s="1019"/>
      <c r="I424" s="1019"/>
      <c r="J424" s="1019"/>
      <c r="K424" s="1019"/>
    </row>
    <row r="425" spans="4:12">
      <c r="D425" s="956" t="s">
        <v>663</v>
      </c>
      <c r="E425" s="958"/>
      <c r="F425" s="1019"/>
      <c r="G425" s="1019">
        <f t="shared" ref="G425:L425" si="112">F429</f>
        <v>2165.9</v>
      </c>
      <c r="H425" s="1019">
        <f t="shared" ca="1" si="112"/>
        <v>2570.7401709610899</v>
      </c>
      <c r="I425" s="1019">
        <f t="shared" ca="1" si="112"/>
        <v>2989.1409843368806</v>
      </c>
      <c r="J425" s="1019">
        <f t="shared" ca="1" si="112"/>
        <v>3425.4496784825833</v>
      </c>
      <c r="K425" s="1019">
        <f t="shared" ca="1" si="112"/>
        <v>3871.8539063964213</v>
      </c>
      <c r="L425" s="1019">
        <f t="shared" ca="1" si="112"/>
        <v>4332.5072370592497</v>
      </c>
    </row>
    <row r="426" spans="4:12">
      <c r="D426" s="956" t="s">
        <v>688</v>
      </c>
      <c r="E426" s="958"/>
      <c r="F426" s="1019"/>
      <c r="G426" s="1019">
        <f ca="1">I79</f>
        <v>495.47148838107989</v>
      </c>
      <c r="H426" s="1019">
        <f t="shared" ref="H426:L426" ca="1" si="113">J79</f>
        <v>509.03213079578057</v>
      </c>
      <c r="I426" s="1019">
        <f t="shared" ca="1" si="113"/>
        <v>524.96727148161813</v>
      </c>
      <c r="J426" s="1019">
        <f t="shared" ca="1" si="113"/>
        <v>533.07721756797309</v>
      </c>
      <c r="K426" s="1019">
        <f t="shared" ca="1" si="113"/>
        <v>545.28360221132903</v>
      </c>
      <c r="L426" s="1019">
        <f t="shared" ca="1" si="113"/>
        <v>627.40876272144078</v>
      </c>
    </row>
    <row r="427" spans="4:12">
      <c r="D427" s="956" t="s">
        <v>714</v>
      </c>
      <c r="E427" s="958"/>
      <c r="F427" s="1019"/>
      <c r="G427" s="1019">
        <f t="shared" ref="G427:L427" si="114">I140-G416</f>
        <v>-183.84304084627155</v>
      </c>
      <c r="H427" s="1019">
        <f t="shared" si="114"/>
        <v>0</v>
      </c>
      <c r="I427" s="1019">
        <f t="shared" si="114"/>
        <v>-181.00398709549091</v>
      </c>
      <c r="J427" s="1019">
        <f t="shared" si="114"/>
        <v>-182.18278729737455</v>
      </c>
      <c r="K427" s="1019">
        <f t="shared" si="114"/>
        <v>-187.42465092931533</v>
      </c>
      <c r="L427" s="1019">
        <f t="shared" si="114"/>
        <v>-196.69</v>
      </c>
    </row>
    <row r="428" spans="4:12">
      <c r="D428" s="956" t="s">
        <v>687</v>
      </c>
      <c r="E428" s="958"/>
      <c r="F428" s="1021"/>
      <c r="G428" s="1021">
        <f t="shared" ref="G428:L428" si="115">G421</f>
        <v>-90.631317419990069</v>
      </c>
      <c r="H428" s="1021">
        <f t="shared" si="115"/>
        <v>-90.631317419990069</v>
      </c>
      <c r="I428" s="1021">
        <f t="shared" si="115"/>
        <v>-88.658577335915624</v>
      </c>
      <c r="J428" s="1021">
        <f t="shared" si="115"/>
        <v>-86.67298965413525</v>
      </c>
      <c r="K428" s="1021">
        <f t="shared" si="115"/>
        <v>-84.630271548501142</v>
      </c>
      <c r="L428" s="1021">
        <f t="shared" si="115"/>
        <v>-82.486571548501146</v>
      </c>
    </row>
    <row r="429" spans="4:12">
      <c r="D429" s="955" t="s">
        <v>665</v>
      </c>
      <c r="E429" s="959"/>
      <c r="F429" s="1023">
        <f>H207</f>
        <v>2165.9</v>
      </c>
      <c r="G429" s="1023">
        <f t="shared" ref="G429:L429" ca="1" si="116">G425+G426+G428</f>
        <v>2570.7401709610899</v>
      </c>
      <c r="H429" s="1023">
        <f t="shared" ca="1" si="116"/>
        <v>2989.1409843368806</v>
      </c>
      <c r="I429" s="1023">
        <f t="shared" ca="1" si="116"/>
        <v>3425.4496784825833</v>
      </c>
      <c r="J429" s="1023">
        <f t="shared" ca="1" si="116"/>
        <v>3871.8539063964213</v>
      </c>
      <c r="K429" s="1023">
        <f t="shared" ca="1" si="116"/>
        <v>4332.5072370592497</v>
      </c>
      <c r="L429" s="1023">
        <f t="shared" ca="1" si="116"/>
        <v>4877.4294282321898</v>
      </c>
    </row>
    <row r="430" spans="4:12">
      <c r="D430" s="958"/>
      <c r="E430" s="958"/>
      <c r="F430" s="1019"/>
      <c r="G430" s="1019"/>
      <c r="H430" s="1019"/>
      <c r="I430" s="1019"/>
      <c r="J430" s="1019"/>
      <c r="K430" s="1019"/>
    </row>
    <row r="431" spans="4:12">
      <c r="D431" s="958"/>
      <c r="E431" s="958"/>
      <c r="F431" s="1019"/>
      <c r="G431" s="1019"/>
      <c r="H431" s="1019"/>
      <c r="I431" s="1019"/>
      <c r="J431" s="1019"/>
      <c r="K431" s="1019"/>
    </row>
    <row r="432" spans="4:12">
      <c r="D432" s="958"/>
      <c r="E432" s="958"/>
      <c r="F432" s="1019"/>
      <c r="G432" s="1019"/>
      <c r="H432" s="1019"/>
      <c r="I432" s="1019"/>
      <c r="J432" s="1019"/>
      <c r="K432" s="1019"/>
    </row>
    <row r="433" spans="4:12">
      <c r="D433" s="958" t="s">
        <v>689</v>
      </c>
      <c r="E433" s="958"/>
      <c r="F433" s="1019"/>
      <c r="G433" s="1019">
        <f t="shared" ref="G433:L433" si="117">F436</f>
        <v>95.5</v>
      </c>
      <c r="H433" s="1019">
        <f t="shared" si="117"/>
        <v>93.434347855659865</v>
      </c>
      <c r="I433" s="1019">
        <f t="shared" si="117"/>
        <v>93.434347855659865</v>
      </c>
      <c r="J433" s="1019">
        <f t="shared" si="117"/>
        <v>91.400595191665587</v>
      </c>
      <c r="K433" s="1019">
        <f t="shared" si="117"/>
        <v>89.353597581582733</v>
      </c>
      <c r="L433" s="1019">
        <f t="shared" si="117"/>
        <v>87.247702627320763</v>
      </c>
    </row>
    <row r="434" spans="4:12">
      <c r="D434" s="956" t="s">
        <v>685</v>
      </c>
      <c r="E434" s="958"/>
      <c r="F434" s="1019"/>
      <c r="G434" s="1019">
        <f t="shared" ref="G434:L434" si="118">I84-H84</f>
        <v>-2.0656521443401346</v>
      </c>
      <c r="H434" s="1019">
        <f t="shared" si="118"/>
        <v>0</v>
      </c>
      <c r="I434" s="1019">
        <f t="shared" si="118"/>
        <v>-2.033752663994278</v>
      </c>
      <c r="J434" s="1019">
        <f t="shared" si="118"/>
        <v>-2.0469976100828546</v>
      </c>
      <c r="K434" s="1019">
        <f t="shared" si="118"/>
        <v>-2.10589495426197</v>
      </c>
      <c r="L434" s="1019">
        <f t="shared" si="118"/>
        <v>-2.2099999999999937</v>
      </c>
    </row>
    <row r="435" spans="4:12">
      <c r="D435" s="956" t="s">
        <v>690</v>
      </c>
      <c r="E435" s="958"/>
      <c r="F435" s="1021"/>
      <c r="G435" s="1021">
        <f>Assumptions!B85</f>
        <v>0</v>
      </c>
      <c r="H435" s="1021">
        <f>Assumptions!C85</f>
        <v>0</v>
      </c>
      <c r="I435" s="1021">
        <f>Assumptions!D85</f>
        <v>0</v>
      </c>
      <c r="J435" s="1021">
        <f>Assumptions!E85</f>
        <v>0</v>
      </c>
      <c r="K435" s="1021">
        <f>Assumptions!F85</f>
        <v>0</v>
      </c>
      <c r="L435" s="1021">
        <f>Assumptions!G85</f>
        <v>0</v>
      </c>
    </row>
    <row r="436" spans="4:12">
      <c r="D436" s="958" t="s">
        <v>691</v>
      </c>
      <c r="E436" s="958"/>
      <c r="F436" s="1019">
        <f>H84</f>
        <v>95.5</v>
      </c>
      <c r="G436" s="1019">
        <f t="shared" ref="G436:L436" si="119">G433+G434+G435</f>
        <v>93.434347855659865</v>
      </c>
      <c r="H436" s="1019">
        <f t="shared" si="119"/>
        <v>93.434347855659865</v>
      </c>
      <c r="I436" s="1019">
        <f t="shared" si="119"/>
        <v>91.400595191665587</v>
      </c>
      <c r="J436" s="1019">
        <f t="shared" si="119"/>
        <v>89.353597581582733</v>
      </c>
      <c r="K436" s="1019">
        <f t="shared" si="119"/>
        <v>87.247702627320763</v>
      </c>
      <c r="L436" s="1019">
        <f t="shared" si="119"/>
        <v>85.037702627320769</v>
      </c>
    </row>
    <row r="437" spans="4:12">
      <c r="D437" s="959"/>
      <c r="E437" s="958"/>
      <c r="F437" s="958"/>
      <c r="G437" s="1024"/>
      <c r="H437" s="1024"/>
      <c r="I437" s="1024"/>
      <c r="J437" s="1024"/>
      <c r="K437" s="1024"/>
    </row>
    <row r="438" spans="4:12">
      <c r="D438" s="1025" t="s">
        <v>692</v>
      </c>
      <c r="E438" s="958"/>
      <c r="F438" s="1019"/>
      <c r="G438" s="1026">
        <f t="shared" ref="G438:L438" si="120">AVERAGE(G436,G433)</f>
        <v>94.467173927829933</v>
      </c>
      <c r="H438" s="1026">
        <f t="shared" si="120"/>
        <v>93.434347855659865</v>
      </c>
      <c r="I438" s="1026">
        <f t="shared" si="120"/>
        <v>92.417471523662726</v>
      </c>
      <c r="J438" s="1026">
        <f t="shared" si="120"/>
        <v>90.37709638662416</v>
      </c>
      <c r="K438" s="1027">
        <f t="shared" si="120"/>
        <v>88.300650104451748</v>
      </c>
      <c r="L438" s="1027">
        <f t="shared" si="120"/>
        <v>86.142702627320773</v>
      </c>
    </row>
    <row r="439" spans="4:12">
      <c r="D439" s="1005"/>
      <c r="E439" s="1005"/>
      <c r="F439" s="1005"/>
      <c r="G439" s="1005"/>
      <c r="H439" s="1005"/>
      <c r="I439" s="1005"/>
      <c r="J439" s="1005"/>
      <c r="K439" s="1008"/>
    </row>
  </sheetData>
  <phoneticPr fontId="52" type="noConversion"/>
  <pageMargins left="0.7" right="0.7" top="0.75" bottom="0.75" header="0.3" footer="0.3"/>
  <pageSetup paperSize="9" orientation="portrait" verticalDpi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110"/>
  <sheetViews>
    <sheetView topLeftCell="A7" zoomScale="125" workbookViewId="0">
      <selection activeCell="D36" sqref="D36"/>
    </sheetView>
  </sheetViews>
  <sheetFormatPr baseColWidth="10" defaultColWidth="10.83203125" defaultRowHeight="14"/>
  <cols>
    <col min="1" max="1" width="6.1640625" style="498" customWidth="1"/>
    <col min="2" max="2" width="37.1640625" style="498" customWidth="1"/>
    <col min="3" max="5" width="10.83203125" style="498"/>
    <col min="6" max="6" width="13.33203125" style="500" customWidth="1"/>
    <col min="7" max="7" width="12.1640625" style="500" customWidth="1"/>
    <col min="8" max="8" width="5.1640625" style="498" customWidth="1"/>
    <col min="9" max="16384" width="10.83203125" style="498"/>
  </cols>
  <sheetData>
    <row r="1" spans="1:11">
      <c r="A1" s="563"/>
      <c r="B1" s="563"/>
      <c r="C1" s="563"/>
      <c r="D1" s="563"/>
      <c r="E1" s="563"/>
      <c r="F1" s="564"/>
      <c r="G1" s="564"/>
      <c r="H1" s="563"/>
      <c r="I1" s="563"/>
      <c r="J1" s="563"/>
      <c r="K1" s="563"/>
    </row>
    <row r="2" spans="1:11" ht="19">
      <c r="A2" s="563"/>
      <c r="B2" s="563"/>
      <c r="C2" s="565" t="s">
        <v>347</v>
      </c>
      <c r="D2" s="565"/>
      <c r="E2" s="565"/>
      <c r="F2" s="564"/>
      <c r="G2" s="564"/>
      <c r="H2" s="563"/>
      <c r="I2" s="565" t="s">
        <v>347</v>
      </c>
      <c r="J2" s="565"/>
      <c r="K2" s="563"/>
    </row>
    <row r="3" spans="1:11" ht="19">
      <c r="A3" s="563"/>
      <c r="B3" s="563"/>
      <c r="C3" s="565"/>
      <c r="D3" s="565"/>
      <c r="E3" s="566" t="s">
        <v>346</v>
      </c>
      <c r="F3" s="564"/>
      <c r="G3" s="564"/>
      <c r="H3" s="563"/>
      <c r="I3" s="565"/>
      <c r="J3" s="565"/>
      <c r="K3" s="563"/>
    </row>
    <row r="4" spans="1:11" ht="19">
      <c r="C4" s="499"/>
      <c r="D4" s="499"/>
      <c r="E4" s="499"/>
    </row>
    <row r="5" spans="1:11" ht="46" thickBot="1">
      <c r="B5" s="501"/>
      <c r="C5" s="502" t="s">
        <v>65</v>
      </c>
      <c r="D5" s="502" t="s">
        <v>64</v>
      </c>
      <c r="E5" s="502" t="s">
        <v>63</v>
      </c>
      <c r="F5" s="503" t="s">
        <v>345</v>
      </c>
      <c r="G5" s="503" t="s">
        <v>344</v>
      </c>
      <c r="H5" s="504"/>
      <c r="I5" s="502" t="s">
        <v>343</v>
      </c>
      <c r="J5" s="502" t="s">
        <v>342</v>
      </c>
    </row>
    <row r="6" spans="1:11">
      <c r="B6" s="505" t="s">
        <v>341</v>
      </c>
      <c r="F6" s="506"/>
      <c r="G6" s="506"/>
    </row>
    <row r="7" spans="1:11">
      <c r="B7" s="498" t="s">
        <v>340</v>
      </c>
      <c r="F7" s="507"/>
    </row>
    <row r="8" spans="1:11">
      <c r="C8" s="508"/>
      <c r="D8" s="508"/>
      <c r="E8" s="508"/>
      <c r="F8" s="507"/>
      <c r="G8" s="507"/>
      <c r="I8" s="508"/>
      <c r="J8" s="508"/>
    </row>
    <row r="9" spans="1:11">
      <c r="B9" s="509" t="s">
        <v>339</v>
      </c>
      <c r="C9" s="510">
        <v>100</v>
      </c>
      <c r="D9" s="510">
        <v>100</v>
      </c>
      <c r="E9" s="510">
        <v>100</v>
      </c>
      <c r="F9" s="511">
        <v>100</v>
      </c>
      <c r="G9" s="507"/>
      <c r="I9" s="498">
        <v>2.4437541679828811</v>
      </c>
      <c r="J9" s="498">
        <v>-2.3306409476740786</v>
      </c>
    </row>
    <row r="10" spans="1:11">
      <c r="B10" s="512" t="s">
        <v>338</v>
      </c>
      <c r="C10" s="513"/>
      <c r="D10" s="513"/>
      <c r="E10" s="513"/>
      <c r="F10" s="507"/>
      <c r="G10" s="507"/>
      <c r="J10" s="514"/>
    </row>
    <row r="11" spans="1:11">
      <c r="B11" s="515" t="s">
        <v>31</v>
      </c>
      <c r="C11" s="513">
        <v>-81.899547225439619</v>
      </c>
      <c r="D11" s="513">
        <v>-81.250374735543772</v>
      </c>
      <c r="E11" s="513">
        <v>-81.006419475918207</v>
      </c>
      <c r="F11" s="516">
        <v>-81.385447145633862</v>
      </c>
      <c r="G11" s="516"/>
      <c r="I11" s="517">
        <v>1.6317390931687603</v>
      </c>
      <c r="J11" s="517">
        <v>-2.6238944117057961</v>
      </c>
    </row>
    <row r="12" spans="1:11">
      <c r="A12" s="504"/>
      <c r="B12" s="72" t="s">
        <v>337</v>
      </c>
      <c r="C12" s="518">
        <v>-11.568565511916045</v>
      </c>
      <c r="D12" s="518">
        <v>-1366.1</v>
      </c>
      <c r="E12" s="518">
        <v>-1344.6</v>
      </c>
      <c r="F12" s="516">
        <v>-907.42285517063863</v>
      </c>
      <c r="G12" s="516"/>
      <c r="I12" s="518">
        <v>3.6180218446601797</v>
      </c>
      <c r="J12" s="518">
        <v>-1.5738232925847306</v>
      </c>
    </row>
    <row r="13" spans="1:11">
      <c r="B13" s="515" t="s">
        <v>336</v>
      </c>
      <c r="C13" s="519">
        <v>-20.5</v>
      </c>
      <c r="D13" s="519">
        <v>0</v>
      </c>
      <c r="E13" s="519">
        <v>-40</v>
      </c>
      <c r="F13" s="516">
        <v>-20.166666666666668</v>
      </c>
      <c r="G13" s="516"/>
      <c r="I13" s="520" t="s">
        <v>318</v>
      </c>
      <c r="J13" s="521" t="s">
        <v>318</v>
      </c>
    </row>
    <row r="14" spans="1:11">
      <c r="B14" s="515" t="s">
        <v>335</v>
      </c>
      <c r="C14" s="522">
        <v>-1.5733038503387036</v>
      </c>
      <c r="D14" s="522">
        <v>-1.5751740914269075</v>
      </c>
      <c r="E14" s="522">
        <v>-1.5750517416774827</v>
      </c>
      <c r="F14" s="523">
        <v>-1.5745098944810312</v>
      </c>
      <c r="G14" s="516"/>
      <c r="I14" s="524">
        <v>2.5655326268823275</v>
      </c>
      <c r="J14" s="524">
        <v>-2.338227297444273</v>
      </c>
    </row>
    <row r="15" spans="1:11">
      <c r="B15" s="525" t="s">
        <v>334</v>
      </c>
      <c r="C15" s="513">
        <v>4.7787020462602161</v>
      </c>
      <c r="D15" s="513">
        <v>5.4732802850559761</v>
      </c>
      <c r="E15" s="513">
        <v>5.2758971480688901</v>
      </c>
      <c r="F15" s="516">
        <v>5.1759598264616935</v>
      </c>
      <c r="G15" s="516">
        <v>5.7404639203401331</v>
      </c>
      <c r="I15" s="514">
        <v>17.333822989350178</v>
      </c>
      <c r="J15" s="514">
        <v>-5.8528951486699121</v>
      </c>
    </row>
    <row r="16" spans="1:11">
      <c r="B16" s="515" t="s">
        <v>333</v>
      </c>
      <c r="C16" s="519">
        <v>-0.36415008248218739</v>
      </c>
      <c r="D16" s="519">
        <v>-0.39743381099623976</v>
      </c>
      <c r="E16" s="519">
        <v>-0.36043778721015896</v>
      </c>
      <c r="F16" s="516">
        <v>-0.37400722689619537</v>
      </c>
      <c r="G16" s="516"/>
      <c r="I16" s="517">
        <v>11.807228915662638</v>
      </c>
      <c r="J16" s="517">
        <v>-11.422413793103448</v>
      </c>
    </row>
    <row r="17" spans="2:10">
      <c r="B17" s="515" t="s">
        <v>332</v>
      </c>
      <c r="C17" s="519">
        <v>0.37204731318662032</v>
      </c>
      <c r="D17" s="519">
        <v>0.40771227162545293</v>
      </c>
      <c r="E17" s="519">
        <v>0.4455046129020942</v>
      </c>
      <c r="F17" s="516">
        <v>0.40842139923805582</v>
      </c>
      <c r="G17" s="516"/>
      <c r="I17" s="517">
        <v>12.264150943396235</v>
      </c>
      <c r="J17" s="517">
        <v>6.7226890756302504</v>
      </c>
    </row>
    <row r="18" spans="2:10">
      <c r="B18" s="515" t="s">
        <v>241</v>
      </c>
      <c r="C18" s="519">
        <v>0</v>
      </c>
      <c r="D18" s="519">
        <v>0.21413459644193958</v>
      </c>
      <c r="E18" s="519">
        <v>0</v>
      </c>
      <c r="F18" s="516">
        <v>7.137819881397986E-2</v>
      </c>
      <c r="G18" s="516"/>
      <c r="I18" s="521" t="s">
        <v>318</v>
      </c>
      <c r="J18" s="521" t="s">
        <v>318</v>
      </c>
    </row>
    <row r="19" spans="2:10" ht="28" customHeight="1">
      <c r="B19" s="526" t="s">
        <v>175</v>
      </c>
      <c r="C19" s="527">
        <v>0</v>
      </c>
      <c r="D19" s="527">
        <v>0</v>
      </c>
      <c r="E19" s="527">
        <v>2.699337004946154</v>
      </c>
      <c r="F19" s="528">
        <v>0.89977900164871805</v>
      </c>
      <c r="G19" s="516"/>
      <c r="I19" s="521" t="s">
        <v>318</v>
      </c>
      <c r="J19" s="521" t="s">
        <v>318</v>
      </c>
    </row>
    <row r="20" spans="2:10">
      <c r="B20" s="515" t="s">
        <v>331</v>
      </c>
      <c r="C20" s="513">
        <v>4.7865992769646493</v>
      </c>
      <c r="D20" s="513">
        <v>5.6976933421271285</v>
      </c>
      <c r="E20" s="513">
        <v>8.0603009787069766</v>
      </c>
      <c r="F20" s="529">
        <v>6.1815311992662521</v>
      </c>
      <c r="G20" s="516"/>
      <c r="I20" s="517">
        <v>21.943171402383332</v>
      </c>
      <c r="J20" s="517">
        <v>38.168971737823057</v>
      </c>
    </row>
    <row r="21" spans="2:10">
      <c r="B21" s="515" t="s">
        <v>330</v>
      </c>
      <c r="C21" s="513">
        <v>-1.3407742795970659</v>
      </c>
      <c r="D21" s="513">
        <v>-1.498942175093577</v>
      </c>
      <c r="E21" s="513">
        <v>-1.7864033395306418</v>
      </c>
      <c r="F21" s="523">
        <v>-1.5420399314070947</v>
      </c>
      <c r="G21" s="516"/>
      <c r="I21" s="517">
        <v>14.528795811518314</v>
      </c>
      <c r="J21" s="517">
        <v>16.399999999999999</v>
      </c>
    </row>
    <row r="22" spans="2:10" ht="15" thickBot="1">
      <c r="B22" s="530" t="s">
        <v>77</v>
      </c>
      <c r="C22" s="531">
        <v>3.4458249973675832</v>
      </c>
      <c r="D22" s="531">
        <v>4.1910423215616426</v>
      </c>
      <c r="E22" s="531">
        <v>6.3282702494124186</v>
      </c>
      <c r="F22" s="532">
        <v>4.6550458561138814</v>
      </c>
      <c r="G22" s="516">
        <v>36.037458291939529</v>
      </c>
      <c r="I22" s="531">
        <v>24.59893048128372</v>
      </c>
      <c r="J22" s="531">
        <v>47.475986102595336</v>
      </c>
    </row>
    <row r="23" spans="2:10" ht="15" thickTop="1">
      <c r="B23" s="530"/>
      <c r="D23" s="510"/>
      <c r="E23" s="510"/>
      <c r="F23" s="507"/>
      <c r="G23" s="507"/>
      <c r="I23" s="504"/>
      <c r="J23" s="504"/>
    </row>
    <row r="24" spans="2:10">
      <c r="B24" s="530" t="s">
        <v>234</v>
      </c>
      <c r="F24" s="507"/>
      <c r="G24" s="507"/>
      <c r="I24" s="504"/>
      <c r="J24" s="504"/>
    </row>
    <row r="25" spans="2:10">
      <c r="B25" s="515" t="s">
        <v>70</v>
      </c>
      <c r="C25" s="514">
        <v>3.81</v>
      </c>
      <c r="D25" s="514">
        <v>4.87</v>
      </c>
      <c r="E25" s="514">
        <v>7.52</v>
      </c>
      <c r="F25" s="507"/>
      <c r="G25" s="507"/>
      <c r="I25" s="504"/>
      <c r="J25" s="504"/>
    </row>
    <row r="26" spans="2:10">
      <c r="B26" s="515" t="s">
        <v>329</v>
      </c>
      <c r="C26" s="514">
        <v>3.79</v>
      </c>
      <c r="D26" s="514">
        <v>4.84</v>
      </c>
      <c r="E26" s="514">
        <v>7.46</v>
      </c>
      <c r="F26" s="507"/>
      <c r="G26" s="507"/>
      <c r="I26" s="504"/>
      <c r="J26" s="504"/>
    </row>
    <row r="27" spans="2:10">
      <c r="B27" s="515" t="s">
        <v>90</v>
      </c>
      <c r="C27" s="498">
        <v>0.74750000000000005</v>
      </c>
      <c r="D27" s="498">
        <v>0.83750000000000002</v>
      </c>
      <c r="E27" s="498">
        <v>0.96499999999999997</v>
      </c>
      <c r="F27" s="507"/>
      <c r="G27" s="507"/>
      <c r="I27" s="504"/>
      <c r="J27" s="504"/>
    </row>
    <row r="28" spans="2:10">
      <c r="F28" s="507"/>
      <c r="G28" s="507"/>
      <c r="I28" s="504"/>
      <c r="J28" s="504"/>
    </row>
    <row r="29" spans="2:10">
      <c r="F29" s="507"/>
      <c r="G29" s="507"/>
      <c r="I29" s="504"/>
      <c r="J29" s="504"/>
    </row>
    <row r="30" spans="2:10">
      <c r="F30" s="507"/>
      <c r="G30" s="507"/>
      <c r="I30" s="504"/>
      <c r="J30" s="504"/>
    </row>
    <row r="31" spans="2:10" ht="19">
      <c r="C31" s="499"/>
      <c r="D31" s="499"/>
      <c r="E31" s="499"/>
      <c r="F31" s="533"/>
      <c r="G31" s="533"/>
      <c r="H31" s="499"/>
      <c r="I31" s="534"/>
      <c r="J31" s="534"/>
    </row>
    <row r="32" spans="2:10" ht="15" thickBot="1">
      <c r="B32" s="501"/>
      <c r="C32" s="535"/>
      <c r="D32" s="535"/>
      <c r="E32" s="535"/>
      <c r="F32" s="536"/>
      <c r="G32" s="536"/>
      <c r="H32" s="537"/>
      <c r="I32" s="535"/>
      <c r="J32" s="535"/>
    </row>
    <row r="33" spans="1:10">
      <c r="B33" s="505" t="s">
        <v>328</v>
      </c>
      <c r="I33" s="504"/>
      <c r="J33" s="504"/>
    </row>
    <row r="34" spans="1:10">
      <c r="B34" s="498" t="s">
        <v>327</v>
      </c>
      <c r="I34" s="504"/>
      <c r="J34" s="504"/>
    </row>
    <row r="35" spans="1:10">
      <c r="A35" s="504"/>
      <c r="B35" s="538"/>
      <c r="I35" s="504"/>
      <c r="J35" s="504"/>
    </row>
    <row r="36" spans="1:10">
      <c r="A36" s="539"/>
      <c r="B36" s="530" t="s">
        <v>74</v>
      </c>
      <c r="I36" s="504"/>
      <c r="J36" s="504"/>
    </row>
    <row r="37" spans="1:10">
      <c r="A37" s="540"/>
      <c r="B37" s="541" t="s">
        <v>227</v>
      </c>
      <c r="I37" s="504"/>
      <c r="J37" s="504"/>
    </row>
    <row r="38" spans="1:10">
      <c r="A38" s="542"/>
      <c r="B38" s="543" t="s">
        <v>282</v>
      </c>
      <c r="C38" s="514">
        <v>5.2930330840463222</v>
      </c>
      <c r="D38" s="514">
        <v>1.4230522821254539</v>
      </c>
      <c r="E38" s="514">
        <v>1.5963647140175836</v>
      </c>
      <c r="F38" s="544"/>
      <c r="G38" s="544"/>
      <c r="H38" s="545"/>
      <c r="I38" s="514">
        <v>-71.311154598825837</v>
      </c>
      <c r="J38" s="514">
        <v>10.231923601637117</v>
      </c>
    </row>
    <row r="39" spans="1:10">
      <c r="A39" s="542"/>
      <c r="B39" s="543" t="s">
        <v>326</v>
      </c>
      <c r="C39" s="514">
        <v>6.2211265563174587</v>
      </c>
      <c r="D39" s="514">
        <v>6.3891747073326997</v>
      </c>
      <c r="E39" s="514">
        <v>5.9310481082682998</v>
      </c>
      <c r="F39" s="544"/>
      <c r="G39" s="544"/>
      <c r="H39" s="545"/>
      <c r="I39" s="514">
        <v>9.5904095904095996</v>
      </c>
      <c r="J39" s="514">
        <v>-8.7815253722272946</v>
      </c>
    </row>
    <row r="40" spans="1:10">
      <c r="A40" s="542"/>
      <c r="B40" s="543" t="s">
        <v>225</v>
      </c>
      <c r="C40" s="514">
        <v>15.087733836050631</v>
      </c>
      <c r="D40" s="514">
        <v>15.228406686210178</v>
      </c>
      <c r="E40" s="514">
        <v>15.436135532944778</v>
      </c>
      <c r="F40" s="544"/>
      <c r="G40" s="544"/>
      <c r="H40" s="545"/>
      <c r="I40" s="514">
        <v>7.702869696553627</v>
      </c>
      <c r="J40" s="514">
        <v>-0.39520652728199934</v>
      </c>
    </row>
    <row r="41" spans="1:10">
      <c r="A41" s="542"/>
      <c r="B41" s="543" t="s">
        <v>325</v>
      </c>
      <c r="C41" s="514">
        <v>4.5576018727600434E-2</v>
      </c>
      <c r="D41" s="514">
        <v>0.26985575336348994</v>
      </c>
      <c r="E41" s="514">
        <v>0.21535118048009483</v>
      </c>
      <c r="F41" s="544"/>
      <c r="G41" s="544"/>
      <c r="H41" s="545"/>
      <c r="I41" s="514">
        <v>531.81818181818176</v>
      </c>
      <c r="J41" s="514">
        <v>-21.582733812949641</v>
      </c>
    </row>
    <row r="42" spans="1:10">
      <c r="A42" s="542"/>
      <c r="B42" s="543" t="s">
        <v>324</v>
      </c>
      <c r="C42" s="524">
        <v>0.24238155414223864</v>
      </c>
      <c r="D42" s="524">
        <v>0.12813294764021821</v>
      </c>
      <c r="E42" s="524">
        <v>0.30228193223352762</v>
      </c>
      <c r="F42" s="546"/>
      <c r="G42" s="544"/>
      <c r="H42" s="545"/>
      <c r="I42" s="514">
        <v>-43.589743589743591</v>
      </c>
      <c r="J42" s="514">
        <v>131.81818181818184</v>
      </c>
    </row>
    <row r="43" spans="1:10">
      <c r="A43" s="134"/>
      <c r="C43" s="514">
        <v>26.889851049284253</v>
      </c>
      <c r="D43" s="514">
        <v>23.43862237667204</v>
      </c>
      <c r="E43" s="514">
        <v>23.481181467944285</v>
      </c>
      <c r="F43" s="546"/>
      <c r="G43" s="544"/>
      <c r="H43" s="545"/>
      <c r="I43" s="547">
        <v>-6.9876733436055494</v>
      </c>
      <c r="J43" s="547">
        <v>-1.5571937380932654</v>
      </c>
    </row>
    <row r="44" spans="1:10">
      <c r="A44" s="134"/>
      <c r="B44" s="548" t="s">
        <v>323</v>
      </c>
      <c r="C44" s="524">
        <v>0.13672805618280126</v>
      </c>
      <c r="D44" s="524">
        <v>1.1648449785474383E-2</v>
      </c>
      <c r="E44" s="524">
        <v>1.7781290131383975E-2</v>
      </c>
      <c r="F44" s="546"/>
      <c r="G44" s="544"/>
      <c r="H44" s="545"/>
      <c r="I44" s="524">
        <v>-90.909090909090907</v>
      </c>
      <c r="J44" s="524">
        <v>50</v>
      </c>
    </row>
    <row r="45" spans="1:10">
      <c r="A45" s="134"/>
      <c r="B45" s="548" t="s">
        <v>322</v>
      </c>
      <c r="C45" s="514">
        <v>27.026579105467054</v>
      </c>
      <c r="D45" s="514">
        <v>23.450270826457512</v>
      </c>
      <c r="E45" s="514">
        <v>23.49896275807567</v>
      </c>
      <c r="F45" s="544"/>
      <c r="G45" s="544"/>
      <c r="H45" s="545"/>
      <c r="I45" s="517">
        <v>-7.412233634830601</v>
      </c>
      <c r="J45" s="517">
        <v>-1.5315837403758414</v>
      </c>
    </row>
    <row r="46" spans="1:10">
      <c r="A46" s="134"/>
      <c r="C46" s="514"/>
      <c r="D46" s="514"/>
      <c r="E46" s="514"/>
      <c r="F46" s="544"/>
      <c r="G46" s="544"/>
      <c r="H46" s="545"/>
      <c r="I46" s="514"/>
      <c r="J46" s="514"/>
    </row>
    <row r="47" spans="1:10">
      <c r="A47" s="549"/>
      <c r="B47" s="550" t="s">
        <v>220</v>
      </c>
      <c r="C47" s="514"/>
      <c r="D47" s="514"/>
      <c r="E47" s="514"/>
      <c r="F47" s="544"/>
      <c r="G47" s="544"/>
      <c r="H47" s="545"/>
      <c r="I47" s="514"/>
      <c r="J47" s="514"/>
    </row>
    <row r="48" spans="1:10">
      <c r="A48" s="549"/>
      <c r="B48" s="99" t="s">
        <v>219</v>
      </c>
      <c r="C48" s="514">
        <v>5.3593254749228318</v>
      </c>
      <c r="D48" s="514">
        <v>6.299869925644062</v>
      </c>
      <c r="E48" s="514">
        <v>4.0778425367973918</v>
      </c>
      <c r="F48" s="544"/>
      <c r="G48" s="544"/>
      <c r="H48" s="545"/>
      <c r="I48" s="514">
        <v>25.434866640896804</v>
      </c>
      <c r="J48" s="514">
        <v>-36.394453004622498</v>
      </c>
    </row>
    <row r="49" spans="1:10">
      <c r="A49" s="549"/>
      <c r="B49" s="99" t="s">
        <v>218</v>
      </c>
      <c r="C49" s="514">
        <v>0.35217832653145786</v>
      </c>
      <c r="D49" s="514">
        <v>0.50088334077539853</v>
      </c>
      <c r="E49" s="514">
        <v>0.54331719845895488</v>
      </c>
      <c r="F49" s="544"/>
      <c r="G49" s="544"/>
      <c r="H49" s="545"/>
      <c r="I49" s="514">
        <v>51.764705882352935</v>
      </c>
      <c r="J49" s="514">
        <v>6.5891472868216949</v>
      </c>
    </row>
    <row r="50" spans="1:10">
      <c r="A50" s="549"/>
      <c r="B50" s="99" t="s">
        <v>217</v>
      </c>
      <c r="C50" s="514">
        <v>25.40034389177767</v>
      </c>
      <c r="D50" s="514">
        <v>24.855850433904756</v>
      </c>
      <c r="E50" s="514">
        <v>26.245184233922753</v>
      </c>
      <c r="F50" s="544"/>
      <c r="G50" s="544"/>
      <c r="H50" s="545"/>
      <c r="I50" s="514">
        <v>4.4205203490742973</v>
      </c>
      <c r="J50" s="514">
        <v>3.7569319690697656</v>
      </c>
    </row>
    <row r="51" spans="1:10">
      <c r="A51" s="549"/>
      <c r="B51" s="99" t="s">
        <v>216</v>
      </c>
      <c r="C51" s="514">
        <v>0.55934204802055076</v>
      </c>
      <c r="D51" s="514">
        <v>0.42905123376497317</v>
      </c>
      <c r="E51" s="514">
        <v>0.40896967302183151</v>
      </c>
      <c r="F51" s="544"/>
      <c r="G51" s="544"/>
      <c r="H51" s="545"/>
      <c r="I51" s="514">
        <v>-18.148148148148145</v>
      </c>
      <c r="J51" s="514">
        <v>-6.3348416289592873</v>
      </c>
    </row>
    <row r="52" spans="1:10">
      <c r="A52" s="549"/>
      <c r="B52" s="99" t="s">
        <v>215</v>
      </c>
      <c r="C52" s="514">
        <v>6.1569058026558388</v>
      </c>
      <c r="D52" s="514">
        <v>7.243394358267488</v>
      </c>
      <c r="E52" s="514">
        <v>7.2132766966314339</v>
      </c>
      <c r="F52" s="544"/>
      <c r="G52" s="544"/>
      <c r="H52" s="545"/>
      <c r="I52" s="514">
        <v>25.538358008075377</v>
      </c>
      <c r="J52" s="514">
        <v>-2.1441972661484843</v>
      </c>
    </row>
    <row r="53" spans="1:10">
      <c r="A53" s="549"/>
      <c r="B53" s="99" t="s">
        <v>214</v>
      </c>
      <c r="C53" s="514">
        <v>34.163369310766299</v>
      </c>
      <c r="D53" s="514">
        <v>36.100487293482701</v>
      </c>
      <c r="E53" s="514">
        <v>36.661068853106791</v>
      </c>
      <c r="F53" s="544"/>
      <c r="G53" s="544"/>
      <c r="H53" s="545"/>
      <c r="I53" s="514">
        <v>12.758474319325707</v>
      </c>
      <c r="J53" s="514">
        <v>-0.20973379940845138</v>
      </c>
    </row>
    <row r="54" spans="1:10">
      <c r="A54" s="549"/>
      <c r="B54" s="99" t="s">
        <v>213</v>
      </c>
      <c r="C54" s="514">
        <v>0.94880984442004523</v>
      </c>
      <c r="D54" s="514">
        <v>1.0930128715370131</v>
      </c>
      <c r="E54" s="514">
        <v>1.0649017089795514</v>
      </c>
      <c r="F54" s="544"/>
      <c r="G54" s="544"/>
      <c r="H54" s="545"/>
      <c r="I54" s="514">
        <v>22.925764192139741</v>
      </c>
      <c r="J54" s="514">
        <v>-4.2628774422735276</v>
      </c>
    </row>
    <row r="55" spans="1:10">
      <c r="A55" s="549"/>
      <c r="B55" s="99" t="s">
        <v>212</v>
      </c>
      <c r="C55" s="514">
        <v>3.3146195438254859E-2</v>
      </c>
      <c r="D55" s="514">
        <v>2.7179716166106892E-2</v>
      </c>
      <c r="E55" s="514">
        <v>0.28647634100563074</v>
      </c>
      <c r="F55" s="544"/>
      <c r="G55" s="544"/>
      <c r="H55" s="545"/>
      <c r="I55" s="514">
        <v>-12.5</v>
      </c>
      <c r="J55" s="514">
        <v>935.71428571428578</v>
      </c>
    </row>
    <row r="56" spans="1:10">
      <c r="A56" s="539"/>
      <c r="B56" s="530" t="s">
        <v>211</v>
      </c>
      <c r="C56" s="551">
        <v>100</v>
      </c>
      <c r="D56" s="551">
        <v>100</v>
      </c>
      <c r="E56" s="551">
        <v>100</v>
      </c>
      <c r="F56" s="544"/>
      <c r="G56" s="544"/>
      <c r="H56" s="545"/>
      <c r="I56" s="552">
        <v>6.7079613018168338</v>
      </c>
      <c r="J56" s="552">
        <v>-1.7356190180356723</v>
      </c>
    </row>
    <row r="57" spans="1:10">
      <c r="A57" s="539"/>
      <c r="B57" s="530"/>
      <c r="C57" s="514"/>
      <c r="D57" s="514"/>
      <c r="E57" s="514"/>
      <c r="F57" s="544"/>
      <c r="G57" s="544"/>
      <c r="H57" s="545"/>
      <c r="I57" s="514"/>
      <c r="J57" s="514"/>
    </row>
    <row r="58" spans="1:10">
      <c r="A58" s="539"/>
      <c r="B58" s="530" t="s">
        <v>210</v>
      </c>
      <c r="C58" s="514"/>
      <c r="D58" s="514"/>
      <c r="E58" s="514"/>
      <c r="F58" s="544"/>
      <c r="G58" s="544"/>
      <c r="H58" s="545"/>
      <c r="I58" s="514"/>
      <c r="J58" s="514"/>
    </row>
    <row r="59" spans="1:10">
      <c r="A59" s="540"/>
      <c r="B59" s="541" t="s">
        <v>209</v>
      </c>
      <c r="C59" s="514"/>
      <c r="D59" s="514"/>
      <c r="E59" s="514"/>
      <c r="F59" s="544"/>
      <c r="G59" s="544"/>
      <c r="H59" s="545"/>
      <c r="I59" s="514"/>
      <c r="J59" s="514"/>
    </row>
    <row r="60" spans="1:10">
      <c r="B60" s="553" t="s">
        <v>208</v>
      </c>
      <c r="C60" s="514">
        <v>6.2149116446727848E-3</v>
      </c>
      <c r="D60" s="514">
        <v>5.8242248927371917E-3</v>
      </c>
      <c r="E60" s="514">
        <v>3.9513978069742176E-2</v>
      </c>
      <c r="F60" s="544"/>
      <c r="G60" s="544"/>
      <c r="H60" s="545"/>
      <c r="I60" s="514">
        <v>0</v>
      </c>
      <c r="J60" s="514">
        <v>566.66666666666674</v>
      </c>
    </row>
    <row r="61" spans="1:10">
      <c r="B61" s="553" t="s">
        <v>207</v>
      </c>
      <c r="C61" s="514">
        <v>21.982142487207639</v>
      </c>
      <c r="D61" s="514">
        <v>21.101166786386848</v>
      </c>
      <c r="E61" s="514">
        <v>19.853798281141955</v>
      </c>
      <c r="F61" s="544"/>
      <c r="G61" s="544"/>
      <c r="H61" s="545"/>
      <c r="I61" s="514">
        <v>2.4314390726604573</v>
      </c>
      <c r="J61" s="514">
        <v>-7.5443923084000497</v>
      </c>
    </row>
    <row r="62" spans="1:10">
      <c r="B62" s="553" t="s">
        <v>206</v>
      </c>
      <c r="C62" s="514">
        <v>0.95709639327960905</v>
      </c>
      <c r="D62" s="514">
        <v>1.1745520200353337</v>
      </c>
      <c r="E62" s="514">
        <v>2.9102044848365112</v>
      </c>
      <c r="F62" s="544"/>
      <c r="G62" s="544"/>
      <c r="H62" s="545"/>
      <c r="I62" s="554">
        <v>30.952380952380953</v>
      </c>
      <c r="J62" s="554">
        <v>143.47107438016531</v>
      </c>
    </row>
    <row r="63" spans="1:10">
      <c r="B63" s="553" t="s">
        <v>200</v>
      </c>
      <c r="C63" s="514">
        <v>0.35839323817613061</v>
      </c>
      <c r="D63" s="514">
        <v>0.21743772932885513</v>
      </c>
      <c r="E63" s="514">
        <v>0.78435246468438213</v>
      </c>
      <c r="F63" s="544"/>
      <c r="G63" s="544"/>
      <c r="H63" s="545"/>
      <c r="I63" s="514">
        <v>-35.260115606936424</v>
      </c>
      <c r="J63" s="514">
        <v>254.46428571428578</v>
      </c>
    </row>
    <row r="64" spans="1:10">
      <c r="B64" s="555" t="s">
        <v>205</v>
      </c>
      <c r="C64" s="524">
        <v>7.8328603095026015</v>
      </c>
      <c r="D64" s="524">
        <v>0.23491040400706675</v>
      </c>
      <c r="E64" s="524">
        <v>0.24498666403240144</v>
      </c>
      <c r="F64" s="544"/>
      <c r="G64" s="544"/>
      <c r="H64" s="545"/>
      <c r="I64" s="514">
        <v>-96.799788415763018</v>
      </c>
      <c r="J64" s="514">
        <v>2.4793388429752206</v>
      </c>
    </row>
    <row r="65" spans="1:10">
      <c r="A65" s="556"/>
      <c r="B65" s="498" t="s">
        <v>321</v>
      </c>
      <c r="C65" s="514">
        <v>31.136707339810656</v>
      </c>
      <c r="D65" s="514">
        <v>22.733891164650842</v>
      </c>
      <c r="E65" s="514">
        <v>23.832855872764995</v>
      </c>
      <c r="F65" s="544"/>
      <c r="G65" s="544"/>
      <c r="H65" s="545"/>
      <c r="I65" s="547">
        <v>-22.089155023286754</v>
      </c>
      <c r="J65" s="547">
        <v>3.0145175064048013</v>
      </c>
    </row>
    <row r="66" spans="1:10">
      <c r="A66" s="556"/>
      <c r="C66" s="514"/>
      <c r="D66" s="514"/>
      <c r="E66" s="514"/>
      <c r="F66" s="544"/>
      <c r="G66" s="544"/>
      <c r="H66" s="545"/>
      <c r="I66" s="517"/>
      <c r="J66" s="517"/>
    </row>
    <row r="67" spans="1:10">
      <c r="B67" s="498" t="s">
        <v>320</v>
      </c>
      <c r="C67" s="514"/>
      <c r="D67" s="514"/>
      <c r="E67" s="514"/>
      <c r="F67" s="544"/>
      <c r="G67" s="544"/>
      <c r="H67" s="545"/>
      <c r="I67" s="514"/>
      <c r="J67" s="514"/>
    </row>
    <row r="68" spans="1:10">
      <c r="A68" s="134"/>
      <c r="B68" s="99" t="s">
        <v>202</v>
      </c>
      <c r="C68" s="514">
        <v>13.594083404114274</v>
      </c>
      <c r="D68" s="514">
        <v>18.907375410122505</v>
      </c>
      <c r="E68" s="514">
        <v>12.842042872666207</v>
      </c>
      <c r="F68" s="544"/>
      <c r="G68" s="544"/>
      <c r="H68" s="545"/>
      <c r="I68" s="514">
        <v>48.415117342273682</v>
      </c>
      <c r="J68" s="514">
        <v>-33.258034705821949</v>
      </c>
    </row>
    <row r="69" spans="1:10">
      <c r="A69" s="134"/>
      <c r="B69" s="99" t="s">
        <v>201</v>
      </c>
      <c r="C69" s="514">
        <v>2.7387043980858072</v>
      </c>
      <c r="D69" s="514">
        <v>3.0460696189015515</v>
      </c>
      <c r="E69" s="514">
        <v>1.3790378346340015</v>
      </c>
      <c r="F69" s="544"/>
      <c r="G69" s="544"/>
      <c r="H69" s="545"/>
      <c r="I69" s="514">
        <v>18.683812405446297</v>
      </c>
      <c r="J69" s="514">
        <v>-55.513065646908856</v>
      </c>
    </row>
    <row r="70" spans="1:10">
      <c r="A70" s="134"/>
      <c r="B70" s="99" t="s">
        <v>200</v>
      </c>
      <c r="C70" s="514">
        <v>8.2865488595637138E-2</v>
      </c>
      <c r="D70" s="514">
        <v>6.0183657224950983E-2</v>
      </c>
      <c r="E70" s="514">
        <v>8.8906450656919891E-2</v>
      </c>
      <c r="F70" s="544"/>
      <c r="G70" s="544"/>
      <c r="H70" s="545"/>
      <c r="I70" s="514">
        <v>-22.5</v>
      </c>
      <c r="J70" s="514">
        <v>45.161290322580648</v>
      </c>
    </row>
    <row r="71" spans="1:10">
      <c r="A71" s="134"/>
      <c r="B71" s="99" t="s">
        <v>199</v>
      </c>
      <c r="C71" s="514">
        <v>2.4652482857202047</v>
      </c>
      <c r="D71" s="514">
        <v>2.8674600555242775</v>
      </c>
      <c r="E71" s="514">
        <v>2.9418156672923046</v>
      </c>
      <c r="F71" s="544"/>
      <c r="G71" s="544"/>
      <c r="H71" s="545"/>
      <c r="I71" s="514">
        <v>24.117647058823511</v>
      </c>
      <c r="J71" s="514">
        <v>0.8124576844956044</v>
      </c>
    </row>
    <row r="72" spans="1:10">
      <c r="A72" s="134"/>
      <c r="B72" s="99" t="s">
        <v>198</v>
      </c>
      <c r="C72" s="514">
        <v>0.27759938679538443</v>
      </c>
      <c r="D72" s="514">
        <v>0.26985575336348994</v>
      </c>
      <c r="E72" s="514">
        <v>0.27857354539168233</v>
      </c>
      <c r="F72" s="544"/>
      <c r="G72" s="544"/>
      <c r="H72" s="545"/>
      <c r="I72" s="514">
        <v>3.7313432835820892</v>
      </c>
      <c r="J72" s="514">
        <v>1.4388489208633004</v>
      </c>
    </row>
    <row r="73" spans="1:10">
      <c r="A73" s="549"/>
      <c r="B73" s="99" t="s">
        <v>197</v>
      </c>
      <c r="C73" s="524">
        <v>0</v>
      </c>
      <c r="D73" s="524">
        <v>2.7043817585276364</v>
      </c>
      <c r="E73" s="524">
        <v>3.1709967400968089</v>
      </c>
      <c r="F73" s="544"/>
      <c r="G73" s="544"/>
      <c r="H73" s="545"/>
      <c r="I73" s="557" t="s">
        <v>318</v>
      </c>
      <c r="J73" s="514">
        <v>15.218951902368971</v>
      </c>
    </row>
    <row r="74" spans="1:10">
      <c r="A74" s="549"/>
      <c r="B74" s="509" t="s">
        <v>196</v>
      </c>
      <c r="C74" s="558">
        <v>50.29520830312196</v>
      </c>
      <c r="D74" s="558">
        <v>50.589217418315258</v>
      </c>
      <c r="E74" s="558">
        <v>44.534228983502921</v>
      </c>
      <c r="F74" s="544"/>
      <c r="G74" s="544"/>
      <c r="H74" s="545"/>
      <c r="I74" s="558">
        <v>7.3317406705659449</v>
      </c>
      <c r="J74" s="558">
        <v>-13.496814797758837</v>
      </c>
    </row>
    <row r="75" spans="1:10">
      <c r="A75" s="549"/>
      <c r="C75" s="514"/>
      <c r="D75" s="514"/>
      <c r="E75" s="514"/>
      <c r="F75" s="544"/>
      <c r="G75" s="544"/>
      <c r="H75" s="545"/>
      <c r="I75" s="514"/>
      <c r="J75" s="514"/>
    </row>
    <row r="76" spans="1:10">
      <c r="A76" s="134"/>
      <c r="B76" s="548"/>
      <c r="C76" s="514"/>
      <c r="D76" s="514"/>
      <c r="E76" s="514"/>
      <c r="F76" s="544"/>
      <c r="G76" s="544"/>
      <c r="H76" s="545"/>
      <c r="I76" s="517"/>
      <c r="J76" s="514"/>
    </row>
    <row r="77" spans="1:10">
      <c r="A77" s="134"/>
      <c r="B77" s="530" t="s">
        <v>319</v>
      </c>
      <c r="C77" s="514"/>
      <c r="D77" s="514"/>
      <c r="E77" s="514"/>
      <c r="F77" s="544"/>
      <c r="G77" s="544"/>
      <c r="H77" s="545"/>
      <c r="I77" s="514"/>
      <c r="J77" s="514"/>
    </row>
    <row r="78" spans="1:10">
      <c r="A78" s="466"/>
      <c r="B78" s="515" t="s">
        <v>194</v>
      </c>
      <c r="C78" s="514">
        <v>14.140995628845479</v>
      </c>
      <c r="D78" s="514">
        <v>12.935603486769304</v>
      </c>
      <c r="E78" s="514">
        <v>12.652375777931443</v>
      </c>
      <c r="F78" s="544"/>
      <c r="G78" s="544"/>
      <c r="H78" s="545"/>
      <c r="I78" s="514">
        <v>-2.3879285086434332</v>
      </c>
      <c r="J78" s="514">
        <v>-3.8871379258592187</v>
      </c>
    </row>
    <row r="79" spans="1:10">
      <c r="A79" s="539"/>
      <c r="B79" s="99" t="s">
        <v>193</v>
      </c>
      <c r="C79" s="514">
        <v>0</v>
      </c>
      <c r="D79" s="514">
        <v>-0.2368518123046458</v>
      </c>
      <c r="E79" s="514">
        <v>-0.2845006421021436</v>
      </c>
      <c r="F79" s="544"/>
      <c r="G79" s="544"/>
      <c r="H79" s="545"/>
      <c r="I79" s="557" t="s">
        <v>318</v>
      </c>
      <c r="J79" s="514">
        <v>18.032786885245923</v>
      </c>
    </row>
    <row r="80" spans="1:10">
      <c r="A80" s="539"/>
      <c r="B80" s="99" t="s">
        <v>192</v>
      </c>
      <c r="C80" s="514">
        <v>7.8722214165855287E-2</v>
      </c>
      <c r="D80" s="514">
        <v>0.31450814420780837</v>
      </c>
      <c r="E80" s="514">
        <v>0.28845203990911783</v>
      </c>
      <c r="F80" s="544"/>
      <c r="G80" s="544"/>
      <c r="H80" s="545"/>
      <c r="I80" s="514">
        <v>326.31578947368428</v>
      </c>
      <c r="J80" s="514">
        <v>-9.8765432098765427</v>
      </c>
    </row>
    <row r="81" spans="1:10">
      <c r="A81" s="549"/>
      <c r="B81" s="559" t="s">
        <v>191</v>
      </c>
      <c r="C81" s="514">
        <v>36.535393921816414</v>
      </c>
      <c r="D81" s="514">
        <v>36.389757129821973</v>
      </c>
      <c r="E81" s="514">
        <v>42.791662550627287</v>
      </c>
      <c r="F81" s="544"/>
      <c r="G81" s="544"/>
      <c r="H81" s="545"/>
      <c r="I81" s="514">
        <v>6.2826037650260957</v>
      </c>
      <c r="J81" s="514">
        <v>15.551643192488251</v>
      </c>
    </row>
    <row r="82" spans="1:10">
      <c r="A82" s="549"/>
      <c r="B82" s="99" t="s">
        <v>190</v>
      </c>
      <c r="C82" s="514">
        <v>-1.0606782540241555</v>
      </c>
      <c r="D82" s="514">
        <v>-7.7656331903162568E-3</v>
      </c>
      <c r="E82" s="514">
        <v>-7.9027956139484344E-3</v>
      </c>
      <c r="F82" s="544"/>
      <c r="G82" s="544"/>
      <c r="H82" s="545"/>
      <c r="I82" s="514">
        <v>-99.21875</v>
      </c>
      <c r="J82" s="514">
        <v>0</v>
      </c>
    </row>
    <row r="83" spans="1:10">
      <c r="A83" s="549"/>
      <c r="B83" s="99" t="s">
        <v>189</v>
      </c>
      <c r="C83" s="517">
        <v>49.694433510803599</v>
      </c>
      <c r="D83" s="517">
        <v>49.395251315304115</v>
      </c>
      <c r="E83" s="517">
        <v>55.440086930751754</v>
      </c>
      <c r="F83" s="544"/>
      <c r="G83" s="544"/>
      <c r="H83" s="545"/>
      <c r="I83" s="560">
        <v>6.0655327663831748</v>
      </c>
      <c r="J83" s="560">
        <v>10.289667099005628</v>
      </c>
    </row>
    <row r="84" spans="1:10">
      <c r="A84" s="549"/>
      <c r="B84" s="99" t="s">
        <v>188</v>
      </c>
      <c r="C84" s="524">
        <v>1.0358186074454642E-2</v>
      </c>
      <c r="D84" s="524">
        <v>1.5531266380632514E-2</v>
      </c>
      <c r="E84" s="524">
        <v>2.5684085745332409E-2</v>
      </c>
      <c r="F84" s="544"/>
      <c r="G84" s="544"/>
      <c r="H84" s="545"/>
      <c r="I84" s="561">
        <v>60</v>
      </c>
      <c r="J84" s="561">
        <v>62.5</v>
      </c>
    </row>
    <row r="85" spans="1:10">
      <c r="A85" s="549"/>
      <c r="B85" s="515" t="s">
        <v>317</v>
      </c>
      <c r="C85" s="524">
        <v>49.704791696878054</v>
      </c>
      <c r="D85" s="524">
        <v>49.410782581684757</v>
      </c>
      <c r="E85" s="524">
        <v>55.465771016497087</v>
      </c>
      <c r="F85" s="544"/>
      <c r="G85" s="544"/>
      <c r="H85" s="545"/>
      <c r="I85" s="524">
        <v>6.076772391947638</v>
      </c>
      <c r="J85" s="524">
        <v>10.306078346626869</v>
      </c>
    </row>
    <row r="86" spans="1:10" ht="15" thickBot="1">
      <c r="A86" s="549"/>
      <c r="B86" s="530" t="s">
        <v>316</v>
      </c>
      <c r="C86" s="562">
        <v>100</v>
      </c>
      <c r="D86" s="562">
        <v>100</v>
      </c>
      <c r="E86" s="562">
        <v>100</v>
      </c>
      <c r="F86" s="544"/>
      <c r="G86" s="544"/>
      <c r="H86" s="545"/>
      <c r="I86" s="562">
        <v>6.7079613018168116</v>
      </c>
      <c r="J86" s="562">
        <v>-1.7356190180356723</v>
      </c>
    </row>
    <row r="87" spans="1:10" ht="15" thickTop="1">
      <c r="A87" s="549"/>
      <c r="B87" s="530"/>
      <c r="D87" s="510"/>
      <c r="E87" s="510"/>
      <c r="F87" s="544"/>
      <c r="G87" s="544"/>
      <c r="H87" s="545"/>
      <c r="J87" s="510"/>
    </row>
    <row r="88" spans="1:10">
      <c r="A88" s="539"/>
      <c r="F88" s="544"/>
      <c r="G88" s="544"/>
      <c r="H88" s="545"/>
    </row>
    <row r="89" spans="1:10">
      <c r="F89" s="544"/>
      <c r="G89" s="544"/>
      <c r="H89" s="545"/>
    </row>
    <row r="90" spans="1:10">
      <c r="F90" s="544"/>
      <c r="G90" s="544"/>
      <c r="H90" s="545"/>
    </row>
    <row r="91" spans="1:10">
      <c r="F91" s="544"/>
      <c r="G91" s="544"/>
      <c r="H91" s="545"/>
    </row>
    <row r="92" spans="1:10">
      <c r="F92" s="544"/>
      <c r="G92" s="544"/>
      <c r="H92" s="545"/>
    </row>
    <row r="93" spans="1:10">
      <c r="F93" s="544"/>
      <c r="G93" s="544"/>
      <c r="H93" s="545"/>
    </row>
    <row r="94" spans="1:10">
      <c r="F94" s="544"/>
      <c r="G94" s="544"/>
      <c r="H94" s="545"/>
    </row>
    <row r="95" spans="1:10">
      <c r="F95" s="544"/>
      <c r="G95" s="544"/>
      <c r="H95" s="545"/>
    </row>
    <row r="96" spans="1:10">
      <c r="F96" s="544"/>
      <c r="G96" s="544"/>
      <c r="H96" s="545"/>
    </row>
    <row r="97" spans="6:8">
      <c r="F97" s="544"/>
      <c r="G97" s="544"/>
      <c r="H97" s="545"/>
    </row>
    <row r="98" spans="6:8">
      <c r="F98" s="544"/>
      <c r="G98" s="544"/>
      <c r="H98" s="545"/>
    </row>
    <row r="99" spans="6:8">
      <c r="F99" s="544"/>
      <c r="G99" s="544"/>
      <c r="H99" s="545"/>
    </row>
    <row r="100" spans="6:8">
      <c r="F100" s="544"/>
      <c r="G100" s="544"/>
      <c r="H100" s="545"/>
    </row>
    <row r="101" spans="6:8">
      <c r="F101" s="544"/>
      <c r="G101" s="544"/>
      <c r="H101" s="545"/>
    </row>
    <row r="102" spans="6:8">
      <c r="F102" s="544"/>
      <c r="G102" s="544"/>
      <c r="H102" s="545"/>
    </row>
    <row r="103" spans="6:8">
      <c r="F103" s="544"/>
      <c r="G103" s="544"/>
      <c r="H103" s="545"/>
    </row>
    <row r="104" spans="6:8">
      <c r="F104" s="544"/>
      <c r="G104" s="544"/>
      <c r="H104" s="545"/>
    </row>
    <row r="105" spans="6:8">
      <c r="F105" s="544"/>
      <c r="G105" s="544"/>
      <c r="H105" s="545"/>
    </row>
    <row r="106" spans="6:8">
      <c r="F106" s="544"/>
      <c r="G106" s="544"/>
      <c r="H106" s="545"/>
    </row>
    <row r="107" spans="6:8">
      <c r="F107" s="544"/>
      <c r="G107" s="544"/>
      <c r="H107" s="545"/>
    </row>
    <row r="108" spans="6:8">
      <c r="F108" s="544"/>
      <c r="G108" s="544"/>
      <c r="H108" s="545"/>
    </row>
    <row r="109" spans="6:8">
      <c r="F109" s="544"/>
      <c r="G109" s="544"/>
      <c r="H109" s="545"/>
    </row>
    <row r="110" spans="6:8">
      <c r="F110" s="544"/>
      <c r="G110" s="544"/>
      <c r="H110" s="545"/>
    </row>
  </sheetData>
  <phoneticPr fontId="52" type="noConversion"/>
  <pageMargins left="0.75000000000000011" right="0.75000000000000011" top="1" bottom="1" header="0.5" footer="0.5"/>
  <pageSetup orientation="landscape" horizontalDpi="4294967292" verticalDpi="4294967292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3:S55"/>
  <sheetViews>
    <sheetView topLeftCell="A28" workbookViewId="0">
      <selection activeCell="K56" sqref="K56"/>
    </sheetView>
  </sheetViews>
  <sheetFormatPr baseColWidth="10" defaultColWidth="8.83203125" defaultRowHeight="15"/>
  <cols>
    <col min="1" max="5" width="8.83203125" style="778"/>
    <col min="6" max="6" width="10.5" style="778" bestFit="1" customWidth="1"/>
    <col min="7" max="16384" width="8.83203125" style="778"/>
  </cols>
  <sheetData>
    <row r="3" spans="1:15">
      <c r="E3" s="779"/>
    </row>
    <row r="4" spans="1:15">
      <c r="A4" s="852" t="s">
        <v>396</v>
      </c>
      <c r="B4" s="853"/>
      <c r="C4" s="854"/>
      <c r="D4" s="855"/>
      <c r="E4" s="780"/>
      <c r="H4" s="852" t="s">
        <v>414</v>
      </c>
      <c r="I4" s="853"/>
      <c r="J4" s="853"/>
      <c r="K4" s="853"/>
      <c r="L4" s="853"/>
      <c r="M4" s="853"/>
      <c r="N4" s="855"/>
    </row>
    <row r="5" spans="1:15">
      <c r="A5" s="781" t="s">
        <v>397</v>
      </c>
      <c r="B5" s="782"/>
      <c r="C5" s="783"/>
      <c r="D5" s="783"/>
      <c r="E5" s="780"/>
      <c r="H5" s="781" t="s">
        <v>397</v>
      </c>
      <c r="I5" s="782"/>
      <c r="J5" s="784"/>
      <c r="K5" s="784"/>
      <c r="L5" s="782"/>
      <c r="M5" s="782"/>
      <c r="N5" s="783"/>
    </row>
    <row r="6" spans="1:15">
      <c r="A6" s="785"/>
      <c r="B6" s="780"/>
      <c r="C6" s="786"/>
      <c r="D6" s="787" t="s">
        <v>368</v>
      </c>
      <c r="E6" s="787"/>
      <c r="H6" s="788"/>
      <c r="I6" s="789"/>
      <c r="J6" s="790" t="s">
        <v>419</v>
      </c>
      <c r="K6" s="790"/>
      <c r="L6" s="790" t="s">
        <v>420</v>
      </c>
      <c r="M6" s="790" t="s">
        <v>415</v>
      </c>
      <c r="N6" s="791" t="s">
        <v>416</v>
      </c>
    </row>
    <row r="7" spans="1:15">
      <c r="A7" s="788" t="s">
        <v>398</v>
      </c>
      <c r="B7" s="789"/>
      <c r="C7" s="792"/>
      <c r="D7" s="793">
        <v>55.3</v>
      </c>
      <c r="E7" s="794"/>
      <c r="H7" s="788" t="s">
        <v>424</v>
      </c>
      <c r="I7" s="789"/>
      <c r="J7" s="784"/>
      <c r="K7" s="784"/>
      <c r="L7" s="793">
        <v>153.69999999999999</v>
      </c>
      <c r="M7" s="795">
        <f>L7/$L$13</f>
        <v>0.19386982845610493</v>
      </c>
      <c r="N7" s="796">
        <v>2.5399999999999999E-2</v>
      </c>
    </row>
    <row r="8" spans="1:15">
      <c r="A8" s="788" t="s">
        <v>399</v>
      </c>
      <c r="B8" s="789"/>
      <c r="C8" s="792"/>
      <c r="D8" s="793">
        <v>804.4</v>
      </c>
      <c r="E8" s="794"/>
      <c r="H8" s="797" t="s">
        <v>430</v>
      </c>
      <c r="I8" s="798"/>
      <c r="J8" s="799"/>
      <c r="K8" s="800"/>
      <c r="L8" s="801">
        <v>200</v>
      </c>
      <c r="M8" s="795">
        <f t="shared" ref="M8:M13" si="0">L8/$L$13</f>
        <v>0.25227043390514631</v>
      </c>
      <c r="N8" s="802">
        <v>4.9799999999999997E-2</v>
      </c>
    </row>
    <row r="9" spans="1:15">
      <c r="A9" s="788" t="s">
        <v>400</v>
      </c>
      <c r="B9" s="789"/>
      <c r="C9" s="792"/>
      <c r="D9" s="792">
        <v>5.4</v>
      </c>
      <c r="E9" s="803"/>
      <c r="H9" s="797" t="s">
        <v>431</v>
      </c>
      <c r="I9" s="798"/>
      <c r="J9" s="799"/>
      <c r="K9" s="800"/>
      <c r="L9" s="801">
        <v>400</v>
      </c>
      <c r="M9" s="795">
        <f t="shared" si="0"/>
        <v>0.50454086781029261</v>
      </c>
      <c r="N9" s="802">
        <v>5.9700000000000003E-2</v>
      </c>
    </row>
    <row r="10" spans="1:15">
      <c r="A10" s="788" t="s">
        <v>401</v>
      </c>
      <c r="B10" s="789"/>
      <c r="C10" s="792"/>
      <c r="D10" s="792">
        <v>9</v>
      </c>
      <c r="E10" s="803"/>
      <c r="H10" s="797" t="s">
        <v>427</v>
      </c>
      <c r="I10" s="798"/>
      <c r="J10" s="799"/>
      <c r="K10" s="800"/>
      <c r="L10" s="801">
        <v>38.200000000000003</v>
      </c>
      <c r="M10" s="795">
        <f t="shared" si="0"/>
        <v>4.8183652875882943E-2</v>
      </c>
      <c r="N10" s="802">
        <v>8.5999999999999993E-2</v>
      </c>
    </row>
    <row r="11" spans="1:15">
      <c r="A11" s="788" t="s">
        <v>402</v>
      </c>
      <c r="B11" s="789"/>
      <c r="C11" s="804"/>
      <c r="D11" s="804">
        <f>SUM(D8:D10)</f>
        <v>818.8</v>
      </c>
      <c r="E11" s="803"/>
      <c r="H11" s="788" t="s">
        <v>421</v>
      </c>
      <c r="I11" s="789"/>
      <c r="J11" s="784"/>
      <c r="K11" s="784"/>
      <c r="L11" s="793">
        <v>5.4</v>
      </c>
      <c r="M11" s="795">
        <f t="shared" si="0"/>
        <v>6.8113017154389508E-3</v>
      </c>
      <c r="N11" s="805"/>
      <c r="O11" s="806" t="s">
        <v>426</v>
      </c>
    </row>
    <row r="12" spans="1:15">
      <c r="A12" s="788"/>
      <c r="B12" s="789"/>
      <c r="C12" s="807"/>
      <c r="D12" s="807"/>
      <c r="E12" s="780"/>
      <c r="H12" s="788" t="s">
        <v>429</v>
      </c>
      <c r="I12" s="789"/>
      <c r="J12" s="784"/>
      <c r="K12" s="784"/>
      <c r="L12" s="793">
        <v>-4.5</v>
      </c>
      <c r="M12" s="795">
        <f t="shared" si="0"/>
        <v>-5.6760847628657919E-3</v>
      </c>
      <c r="N12" s="805"/>
    </row>
    <row r="13" spans="1:15">
      <c r="A13" s="788" t="s">
        <v>403</v>
      </c>
      <c r="B13" s="789"/>
      <c r="C13" s="792"/>
      <c r="D13" s="792">
        <v>2771.1</v>
      </c>
      <c r="E13" s="803"/>
      <c r="H13" s="788" t="s">
        <v>428</v>
      </c>
      <c r="I13" s="789"/>
      <c r="J13" s="784"/>
      <c r="K13" s="784"/>
      <c r="L13" s="793">
        <f>SUM(L7:L12)</f>
        <v>792.80000000000007</v>
      </c>
      <c r="M13" s="795">
        <f t="shared" si="0"/>
        <v>1</v>
      </c>
      <c r="N13" s="805"/>
    </row>
    <row r="14" spans="1:15">
      <c r="A14" s="788"/>
      <c r="B14" s="789"/>
      <c r="C14" s="792"/>
      <c r="D14" s="792"/>
      <c r="E14" s="803"/>
      <c r="H14" s="788" t="s">
        <v>425</v>
      </c>
      <c r="I14" s="789"/>
      <c r="J14" s="784"/>
      <c r="K14" s="784"/>
      <c r="L14" s="808">
        <v>9</v>
      </c>
      <c r="M14" s="809"/>
      <c r="N14" s="810"/>
    </row>
    <row r="15" spans="1:15">
      <c r="A15" s="788"/>
      <c r="B15" s="789"/>
      <c r="C15" s="807"/>
      <c r="D15" s="807"/>
      <c r="E15" s="780"/>
      <c r="H15" s="788" t="s">
        <v>422</v>
      </c>
      <c r="I15" s="789"/>
      <c r="J15" s="784"/>
      <c r="K15" s="784"/>
      <c r="L15" s="793">
        <f>L13-L14</f>
        <v>783.80000000000007</v>
      </c>
      <c r="M15" s="811"/>
      <c r="N15" s="812">
        <f>(M7*N7)+(M8*N8)+(M9*N9)+(M10*N10)</f>
        <v>5.1752245206861759E-2</v>
      </c>
    </row>
    <row r="16" spans="1:15">
      <c r="A16" s="788" t="s">
        <v>404</v>
      </c>
      <c r="B16" s="789"/>
      <c r="C16" s="792"/>
      <c r="D16" s="792">
        <f>SUM(D11:D13)</f>
        <v>3589.8999999999996</v>
      </c>
      <c r="E16" s="1031">
        <f>D11/D16</f>
        <v>0.22808434775341932</v>
      </c>
      <c r="H16" s="788"/>
      <c r="I16" s="789"/>
      <c r="J16" s="784"/>
      <c r="K16" s="784"/>
      <c r="L16" s="793"/>
      <c r="M16" s="813"/>
      <c r="N16" s="814"/>
    </row>
    <row r="17" spans="1:14">
      <c r="A17" s="788" t="s">
        <v>405</v>
      </c>
      <c r="B17" s="789"/>
      <c r="C17" s="815"/>
      <c r="D17" s="815">
        <f>D11/D16</f>
        <v>0.22808434775341932</v>
      </c>
      <c r="E17" s="816"/>
      <c r="H17" s="788"/>
      <c r="I17" s="789"/>
      <c r="J17" s="784"/>
      <c r="K17" s="784"/>
      <c r="L17" s="789"/>
      <c r="M17" s="789"/>
      <c r="N17" s="807"/>
    </row>
    <row r="18" spans="1:14">
      <c r="A18" s="788"/>
      <c r="B18" s="789"/>
      <c r="C18" s="807"/>
      <c r="D18" s="807"/>
      <c r="E18" s="953"/>
      <c r="H18" s="788"/>
      <c r="I18" s="789"/>
      <c r="J18" s="784"/>
      <c r="K18" s="784"/>
      <c r="L18" s="789"/>
      <c r="M18" s="789"/>
      <c r="N18" s="814"/>
    </row>
    <row r="19" spans="1:14">
      <c r="A19" s="788" t="s">
        <v>406</v>
      </c>
      <c r="B19" s="789"/>
      <c r="C19" s="817"/>
      <c r="D19" s="817">
        <v>89.3</v>
      </c>
      <c r="E19" s="818"/>
      <c r="H19" s="788" t="s">
        <v>417</v>
      </c>
      <c r="I19" s="789"/>
      <c r="J19" s="784"/>
      <c r="K19" s="784"/>
      <c r="L19" s="789"/>
      <c r="M19" s="789"/>
      <c r="N19" s="814">
        <v>0.254</v>
      </c>
    </row>
    <row r="20" spans="1:14">
      <c r="A20" s="788" t="s">
        <v>407</v>
      </c>
      <c r="B20" s="789"/>
      <c r="C20" s="817"/>
      <c r="D20" s="819">
        <v>61.89</v>
      </c>
      <c r="E20" s="820"/>
      <c r="H20" s="788"/>
      <c r="I20" s="789"/>
      <c r="J20" s="784"/>
      <c r="K20" s="784"/>
      <c r="L20" s="789"/>
      <c r="M20" s="789"/>
      <c r="N20" s="807"/>
    </row>
    <row r="21" spans="1:14">
      <c r="A21" s="788" t="s">
        <v>411</v>
      </c>
      <c r="B21" s="789"/>
      <c r="C21" s="817"/>
      <c r="D21" s="807">
        <f>D20*D19</f>
        <v>5526.777</v>
      </c>
      <c r="E21" s="780"/>
      <c r="H21" s="788"/>
      <c r="I21" s="789"/>
      <c r="J21" s="821"/>
      <c r="K21" s="784"/>
      <c r="L21" s="789"/>
      <c r="M21" s="789"/>
      <c r="N21" s="796"/>
    </row>
    <row r="22" spans="1:14">
      <c r="A22" s="788" t="s">
        <v>408</v>
      </c>
      <c r="B22" s="789"/>
      <c r="C22" s="817"/>
      <c r="D22" s="822">
        <f>D21+D11</f>
        <v>6345.5770000000002</v>
      </c>
      <c r="E22" s="803"/>
      <c r="H22" s="823" t="s">
        <v>418</v>
      </c>
      <c r="I22" s="824"/>
      <c r="J22" s="825"/>
      <c r="K22" s="824"/>
      <c r="L22" s="824"/>
      <c r="M22" s="824"/>
      <c r="N22" s="826">
        <f>(1-N19)*$N$15</f>
        <v>3.8607174924318872E-2</v>
      </c>
    </row>
    <row r="23" spans="1:14">
      <c r="A23" s="823" t="s">
        <v>409</v>
      </c>
      <c r="B23" s="824"/>
      <c r="C23" s="827"/>
      <c r="D23" s="828">
        <f>D11/D22</f>
        <v>0.12903475917162457</v>
      </c>
      <c r="E23" s="829"/>
      <c r="H23" s="781" t="s">
        <v>412</v>
      </c>
      <c r="I23" s="782"/>
      <c r="J23" s="825"/>
      <c r="K23" s="782"/>
      <c r="L23" s="782"/>
      <c r="M23" s="782"/>
      <c r="N23" s="783"/>
    </row>
    <row r="24" spans="1:14">
      <c r="A24" s="830" t="s">
        <v>410</v>
      </c>
      <c r="B24" s="831"/>
      <c r="C24" s="832"/>
      <c r="D24" s="833">
        <f>1-D23</f>
        <v>0.87096524082837545</v>
      </c>
      <c r="E24" s="829"/>
      <c r="H24" s="834" t="s">
        <v>423</v>
      </c>
      <c r="I24" s="835"/>
      <c r="J24" s="821"/>
      <c r="K24" s="835"/>
      <c r="L24" s="835"/>
      <c r="M24" s="835"/>
      <c r="N24" s="836"/>
    </row>
    <row r="25" spans="1:14">
      <c r="A25" s="788" t="s">
        <v>412</v>
      </c>
      <c r="B25" s="789"/>
      <c r="C25" s="789"/>
      <c r="D25" s="807"/>
      <c r="E25" s="780"/>
    </row>
    <row r="26" spans="1:14">
      <c r="A26" s="834" t="s">
        <v>413</v>
      </c>
      <c r="B26" s="835"/>
      <c r="C26" s="835"/>
      <c r="D26" s="836"/>
      <c r="E26" s="780"/>
    </row>
    <row r="27" spans="1:14">
      <c r="N27" s="778">
        <f>24696/32371</f>
        <v>0.76290506935219793</v>
      </c>
    </row>
    <row r="28" spans="1:14">
      <c r="N28" s="778">
        <f>13411/17612</f>
        <v>0.76146945264592325</v>
      </c>
    </row>
    <row r="35" spans="1:19">
      <c r="A35" s="837"/>
      <c r="B35" s="837"/>
      <c r="C35" s="837"/>
      <c r="D35" s="837"/>
      <c r="E35" s="837"/>
      <c r="F35" s="837"/>
      <c r="G35" s="837"/>
    </row>
    <row r="36" spans="1:19">
      <c r="A36" s="788"/>
      <c r="B36" s="789"/>
      <c r="C36" s="789"/>
      <c r="D36" s="789"/>
      <c r="E36" s="789"/>
      <c r="F36" s="789"/>
      <c r="G36" s="807"/>
      <c r="K36" s="857" t="s">
        <v>652</v>
      </c>
      <c r="L36" s="858"/>
      <c r="M36" s="858"/>
      <c r="N36" s="858"/>
      <c r="O36" s="858"/>
      <c r="P36" s="858"/>
      <c r="Q36" s="858"/>
      <c r="R36" s="858"/>
      <c r="S36" s="859"/>
    </row>
    <row r="37" spans="1:19">
      <c r="A37" s="860" t="s">
        <v>432</v>
      </c>
      <c r="B37" s="861"/>
      <c r="C37" s="861"/>
      <c r="D37" s="861"/>
      <c r="E37" s="861"/>
      <c r="F37" s="861"/>
      <c r="G37" s="862"/>
      <c r="K37" s="839"/>
      <c r="L37" s="779"/>
      <c r="M37" s="779"/>
      <c r="N37" s="779"/>
      <c r="O37" s="779"/>
      <c r="P37" s="779"/>
      <c r="Q37" s="779"/>
      <c r="R37" s="779"/>
      <c r="S37" s="786"/>
    </row>
    <row r="38" spans="1:19">
      <c r="A38" s="840"/>
      <c r="B38" s="818"/>
      <c r="C38" s="818"/>
      <c r="D38" s="818"/>
      <c r="E38" s="856" t="s">
        <v>433</v>
      </c>
      <c r="F38" s="841"/>
      <c r="G38" s="807"/>
      <c r="K38" s="839" t="s">
        <v>653</v>
      </c>
      <c r="L38" s="779"/>
      <c r="M38" s="779"/>
      <c r="N38" s="842">
        <v>2.5190000000000001E-2</v>
      </c>
      <c r="O38" s="779"/>
      <c r="P38" s="779"/>
      <c r="Q38" s="779"/>
      <c r="R38" s="779"/>
      <c r="S38" s="786"/>
    </row>
    <row r="39" spans="1:19">
      <c r="A39" s="838"/>
      <c r="B39" s="789"/>
      <c r="C39" s="789"/>
      <c r="D39" s="789"/>
      <c r="E39" s="789"/>
      <c r="F39" s="789"/>
      <c r="G39" s="807"/>
      <c r="K39" s="839" t="s">
        <v>654</v>
      </c>
      <c r="L39" s="779"/>
      <c r="M39" s="779"/>
      <c r="N39" s="842">
        <v>0.11783</v>
      </c>
      <c r="O39" s="779"/>
      <c r="P39" s="779"/>
      <c r="Q39" s="779"/>
      <c r="R39" s="779"/>
      <c r="S39" s="786"/>
    </row>
    <row r="40" spans="1:19">
      <c r="A40" s="788" t="s">
        <v>434</v>
      </c>
      <c r="B40" s="789"/>
      <c r="C40" s="789"/>
      <c r="D40" s="789"/>
      <c r="E40" s="789"/>
      <c r="F40" s="789"/>
      <c r="G40" s="814">
        <v>3.8600000000000002E-2</v>
      </c>
      <c r="K40" s="839"/>
      <c r="L40" s="779"/>
      <c r="M40" s="779"/>
      <c r="N40" s="779"/>
      <c r="O40" s="779"/>
      <c r="P40" s="779"/>
      <c r="Q40" s="779"/>
      <c r="R40" s="779"/>
      <c r="S40" s="786"/>
    </row>
    <row r="41" spans="1:19">
      <c r="A41" s="788" t="s">
        <v>435</v>
      </c>
      <c r="B41" s="789"/>
      <c r="C41" s="789"/>
      <c r="D41" s="789"/>
      <c r="E41" s="789"/>
      <c r="F41" s="789"/>
      <c r="G41" s="814">
        <v>0.04</v>
      </c>
      <c r="K41" s="839" t="s">
        <v>651</v>
      </c>
      <c r="L41" s="779" t="s">
        <v>655</v>
      </c>
      <c r="M41" s="779"/>
      <c r="N41" s="779">
        <v>0.40400000000000003</v>
      </c>
      <c r="O41" s="779"/>
      <c r="P41" s="779"/>
      <c r="Q41" s="779"/>
      <c r="R41" s="779"/>
      <c r="S41" s="786"/>
    </row>
    <row r="42" spans="1:19">
      <c r="A42" s="843" t="s">
        <v>436</v>
      </c>
      <c r="B42" s="844"/>
      <c r="C42" s="844"/>
      <c r="D42" s="844"/>
      <c r="E42" s="844"/>
      <c r="F42" s="844"/>
      <c r="G42" s="845">
        <f>SUM(G40:G41)</f>
        <v>7.8600000000000003E-2</v>
      </c>
      <c r="K42" s="839" t="s">
        <v>651</v>
      </c>
      <c r="L42" s="779" t="s">
        <v>656</v>
      </c>
      <c r="M42" s="779"/>
      <c r="N42" s="779">
        <v>0.60199999999999998</v>
      </c>
      <c r="O42" s="779"/>
      <c r="P42" s="779"/>
      <c r="Q42" s="779"/>
      <c r="R42" s="779"/>
      <c r="S42" s="786"/>
    </row>
    <row r="43" spans="1:19">
      <c r="K43" s="839"/>
      <c r="L43" s="779"/>
      <c r="M43" s="779"/>
      <c r="N43" s="779"/>
      <c r="O43" s="779"/>
      <c r="P43" s="779"/>
      <c r="Q43" s="779"/>
      <c r="R43" s="779"/>
      <c r="S43" s="786"/>
    </row>
    <row r="44" spans="1:19" ht="17">
      <c r="A44" s="863" t="s">
        <v>437</v>
      </c>
      <c r="B44" s="864"/>
      <c r="C44" s="865"/>
      <c r="D44" s="1037" t="s">
        <v>699</v>
      </c>
      <c r="E44" s="1038"/>
      <c r="F44" s="1039"/>
      <c r="K44" s="839" t="s">
        <v>623</v>
      </c>
      <c r="L44" s="779"/>
      <c r="M44" s="779"/>
      <c r="N44" s="846">
        <v>5.8000000000000003E-2</v>
      </c>
      <c r="O44" s="779"/>
      <c r="P44" s="779"/>
      <c r="Q44" s="779"/>
      <c r="R44" s="779"/>
      <c r="S44" s="786"/>
    </row>
    <row r="45" spans="1:19">
      <c r="A45" s="788" t="s">
        <v>438</v>
      </c>
      <c r="B45" s="789"/>
      <c r="C45" s="814">
        <f>G42</f>
        <v>7.8600000000000003E-2</v>
      </c>
      <c r="D45" s="788" t="s">
        <v>438</v>
      </c>
      <c r="E45" s="779"/>
      <c r="F45" s="1032">
        <f>K55</f>
        <v>8.0959279999999995E-2</v>
      </c>
      <c r="K45" s="839"/>
      <c r="L45" s="779"/>
      <c r="M45" s="779"/>
      <c r="N45" s="779"/>
      <c r="O45" s="779"/>
      <c r="P45" s="779"/>
      <c r="Q45" s="779"/>
      <c r="R45" s="779"/>
      <c r="S45" s="786"/>
    </row>
    <row r="46" spans="1:19">
      <c r="A46" s="788" t="s">
        <v>439</v>
      </c>
      <c r="B46" s="789"/>
      <c r="C46" s="847">
        <f>D24</f>
        <v>0.87096524082837545</v>
      </c>
      <c r="D46" s="788" t="s">
        <v>439</v>
      </c>
      <c r="E46" s="779"/>
      <c r="F46" s="1033">
        <v>0.87</v>
      </c>
      <c r="K46" s="848" t="s">
        <v>657</v>
      </c>
      <c r="L46" s="837"/>
      <c r="M46" s="837"/>
      <c r="N46" s="837"/>
      <c r="O46" s="837"/>
      <c r="P46" s="837"/>
      <c r="Q46" s="837"/>
      <c r="R46" s="837"/>
      <c r="S46" s="849"/>
    </row>
    <row r="47" spans="1:19">
      <c r="A47" s="788" t="s">
        <v>440</v>
      </c>
      <c r="B47" s="789"/>
      <c r="C47" s="814">
        <f>N22</f>
        <v>3.8607174924318872E-2</v>
      </c>
      <c r="D47" s="788" t="s">
        <v>440</v>
      </c>
      <c r="E47" s="779"/>
      <c r="F47" s="1032">
        <v>3.8600000000000002E-2</v>
      </c>
    </row>
    <row r="48" spans="1:19">
      <c r="A48" s="788" t="s">
        <v>441</v>
      </c>
      <c r="B48" s="789"/>
      <c r="C48" s="847">
        <f>D23</f>
        <v>0.12903475917162457</v>
      </c>
      <c r="D48" s="834" t="s">
        <v>441</v>
      </c>
      <c r="E48" s="1035"/>
      <c r="F48" s="1040">
        <v>0.13</v>
      </c>
    </row>
    <row r="49" spans="1:11">
      <c r="A49" s="843" t="s">
        <v>701</v>
      </c>
      <c r="B49" s="850"/>
      <c r="C49" s="851">
        <f>(C45*C46)+(C47*C48)</f>
        <v>7.3439535447766574E-2</v>
      </c>
      <c r="D49" s="1034" t="s">
        <v>700</v>
      </c>
      <c r="E49" s="1035"/>
      <c r="F49" s="1036">
        <f>F45*F46+F47*F48</f>
        <v>7.5452573599999989E-2</v>
      </c>
    </row>
    <row r="55" spans="1:11">
      <c r="K55" s="778">
        <f>N38+N42*(N39-N38)</f>
        <v>8.0959279999999995E-2</v>
      </c>
    </row>
  </sheetData>
  <phoneticPr fontId="52" type="noConversion"/>
  <pageMargins left="0.75" right="0.75" top="1" bottom="1" header="0.5" footer="0.5"/>
  <pageSetup paperSize="9" orientation="portrait" horizontalDpi="0" verticalDpi="0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Z107"/>
  <sheetViews>
    <sheetView topLeftCell="L37" workbookViewId="0">
      <selection activeCell="M13" sqref="M13"/>
    </sheetView>
  </sheetViews>
  <sheetFormatPr baseColWidth="10" defaultColWidth="10.83203125" defaultRowHeight="15"/>
  <cols>
    <col min="1" max="4" width="10.83203125" style="2"/>
    <col min="5" max="5" width="17.1640625" style="2" customWidth="1"/>
    <col min="6" max="12" width="10.83203125" style="2"/>
    <col min="13" max="13" width="18.6640625" style="2" customWidth="1"/>
    <col min="14" max="14" width="10.83203125" style="2"/>
    <col min="15" max="15" width="15.6640625" style="2" customWidth="1"/>
    <col min="16" max="16" width="11.5" style="2" customWidth="1"/>
    <col min="17" max="18" width="10.83203125" style="2"/>
    <col min="19" max="19" width="17.33203125" style="2" customWidth="1"/>
    <col min="20" max="16384" width="10.83203125" style="2"/>
  </cols>
  <sheetData>
    <row r="1" spans="1:26">
      <c r="B1" s="2" t="s">
        <v>479</v>
      </c>
      <c r="K1" s="2" t="s">
        <v>507</v>
      </c>
    </row>
    <row r="2" spans="1:26">
      <c r="A2" s="754" t="s">
        <v>480</v>
      </c>
      <c r="B2" s="754" t="s">
        <v>481</v>
      </c>
      <c r="C2" s="2" t="s">
        <v>502</v>
      </c>
      <c r="K2" s="2" t="s">
        <v>508</v>
      </c>
      <c r="S2" s="2" t="s">
        <v>620</v>
      </c>
    </row>
    <row r="3" spans="1:26">
      <c r="A3" s="755" t="s">
        <v>482</v>
      </c>
      <c r="B3" s="755">
        <v>116.7</v>
      </c>
      <c r="C3" s="2">
        <f>B3/B4-1</f>
        <v>3.6412078152753269E-2</v>
      </c>
      <c r="E3" s="2" t="s">
        <v>504</v>
      </c>
      <c r="F3" s="756">
        <f>AVERAGE(C3:C21)</f>
        <v>9.283223286590838E-3</v>
      </c>
      <c r="K3" s="755" t="s">
        <v>480</v>
      </c>
      <c r="L3" s="755" t="s">
        <v>509</v>
      </c>
      <c r="M3" s="755" t="s">
        <v>510</v>
      </c>
      <c r="N3" s="755" t="s">
        <v>511</v>
      </c>
      <c r="O3" s="755" t="s">
        <v>512</v>
      </c>
      <c r="P3" s="755" t="s">
        <v>513</v>
      </c>
      <c r="Q3" s="755" t="s">
        <v>514</v>
      </c>
    </row>
    <row r="4" spans="1:26">
      <c r="A4" s="755" t="s">
        <v>483</v>
      </c>
      <c r="B4" s="755">
        <v>112.6</v>
      </c>
      <c r="C4" s="2">
        <f t="shared" ref="C4:C22" si="0">B4/B5-1</f>
        <v>-2.0869565217391362E-2</v>
      </c>
      <c r="K4" s="755" t="s">
        <v>515</v>
      </c>
      <c r="L4" s="755">
        <v>61.88</v>
      </c>
      <c r="M4" s="755">
        <v>-1.5903</v>
      </c>
      <c r="N4" s="755">
        <v>14209.59</v>
      </c>
      <c r="O4" s="755">
        <v>0.03</v>
      </c>
      <c r="P4" s="755">
        <v>0.16489999999999999</v>
      </c>
      <c r="Q4" s="755">
        <v>1.7552000000000001</v>
      </c>
      <c r="S4" s="2" t="s">
        <v>621</v>
      </c>
      <c r="T4" s="2">
        <v>0.40200000000000002</v>
      </c>
    </row>
    <row r="5" spans="1:26">
      <c r="A5" s="755" t="s">
        <v>484</v>
      </c>
      <c r="B5" s="755">
        <v>115</v>
      </c>
      <c r="C5" s="2">
        <f t="shared" si="0"/>
        <v>0.10258868648130393</v>
      </c>
      <c r="K5" s="755" t="s">
        <v>516</v>
      </c>
      <c r="L5" s="755">
        <v>62.88</v>
      </c>
      <c r="M5" s="755">
        <v>-1.5900000000000001E-2</v>
      </c>
      <c r="N5" s="755">
        <v>14205.72</v>
      </c>
      <c r="O5" s="755">
        <v>1.07</v>
      </c>
      <c r="P5" s="755">
        <v>0.58740000000000003</v>
      </c>
      <c r="Q5" s="755">
        <v>0.60329999999999995</v>
      </c>
      <c r="S5" s="2" t="s">
        <v>622</v>
      </c>
      <c r="T5" s="777">
        <v>0.60199999999999998</v>
      </c>
    </row>
    <row r="6" spans="1:26" ht="16" thickBot="1">
      <c r="A6" s="755" t="s">
        <v>485</v>
      </c>
      <c r="B6" s="755">
        <v>104.3</v>
      </c>
      <c r="C6" s="2">
        <f t="shared" si="0"/>
        <v>-1.510859301227585E-2</v>
      </c>
      <c r="K6" s="755" t="s">
        <v>517</v>
      </c>
      <c r="L6" s="755">
        <v>62.89</v>
      </c>
      <c r="M6" s="755">
        <v>0.33500000000000002</v>
      </c>
      <c r="N6" s="755">
        <v>14054.76</v>
      </c>
      <c r="O6" s="755">
        <v>1.95</v>
      </c>
      <c r="P6" s="755">
        <v>0.93920000000000003</v>
      </c>
      <c r="Q6" s="755">
        <v>0.60409999999999997</v>
      </c>
      <c r="S6" s="761" t="s">
        <v>625</v>
      </c>
      <c r="T6" s="762"/>
      <c r="U6" s="762"/>
      <c r="V6" s="762"/>
      <c r="W6" s="762"/>
      <c r="X6" s="762"/>
      <c r="Y6" s="762"/>
      <c r="Z6" s="762"/>
    </row>
    <row r="7" spans="1:26">
      <c r="A7" s="755" t="s">
        <v>486</v>
      </c>
      <c r="B7" s="755">
        <v>105.9</v>
      </c>
      <c r="C7" s="2">
        <f t="shared" si="0"/>
        <v>-5.4464285714285632E-2</v>
      </c>
      <c r="K7" s="755" t="s">
        <v>518</v>
      </c>
      <c r="L7" s="755">
        <v>62.68</v>
      </c>
      <c r="M7" s="755">
        <v>-2.0777999999999999</v>
      </c>
      <c r="N7" s="755">
        <v>13786.5</v>
      </c>
      <c r="O7" s="755">
        <v>0.67</v>
      </c>
      <c r="P7" s="755">
        <v>0.42370000000000002</v>
      </c>
      <c r="Q7" s="755">
        <v>2.5015000000000001</v>
      </c>
      <c r="S7" s="763" t="s">
        <v>624</v>
      </c>
      <c r="T7" s="764">
        <v>0.24017480808587782</v>
      </c>
      <c r="U7" s="1"/>
      <c r="V7" s="1"/>
      <c r="W7" s="1"/>
      <c r="X7" s="1"/>
      <c r="Y7" s="1"/>
      <c r="Z7" s="1"/>
    </row>
    <row r="8" spans="1:26">
      <c r="A8" s="755" t="s">
        <v>487</v>
      </c>
      <c r="B8" s="755">
        <v>112</v>
      </c>
      <c r="C8" s="2" t="s">
        <v>503</v>
      </c>
      <c r="K8" s="755" t="s">
        <v>519</v>
      </c>
      <c r="L8" s="755">
        <v>64.010000000000005</v>
      </c>
      <c r="M8" s="755">
        <v>0.80310000000000004</v>
      </c>
      <c r="N8" s="755">
        <v>13694.94</v>
      </c>
      <c r="O8" s="755">
        <v>-0.17</v>
      </c>
      <c r="P8" s="755">
        <v>8.6800000000000002E-2</v>
      </c>
      <c r="Q8" s="755">
        <v>-0.71640000000000004</v>
      </c>
      <c r="S8" s="775" t="s">
        <v>626</v>
      </c>
      <c r="T8" s="776">
        <v>5.7683938439088249E-2</v>
      </c>
      <c r="U8" s="1"/>
      <c r="V8" s="1"/>
      <c r="W8" s="1"/>
      <c r="X8" s="1"/>
      <c r="Y8" s="1"/>
      <c r="Z8" s="1"/>
    </row>
    <row r="9" spans="1:26">
      <c r="A9" s="755" t="s">
        <v>488</v>
      </c>
      <c r="B9" s="755">
        <v>90.9</v>
      </c>
      <c r="C9" s="2">
        <f t="shared" si="0"/>
        <v>-5.9006211180124057E-2</v>
      </c>
      <c r="K9" s="755" t="s">
        <v>520</v>
      </c>
      <c r="L9" s="755">
        <v>63.5</v>
      </c>
      <c r="M9" s="755">
        <v>-3.7879</v>
      </c>
      <c r="N9" s="755">
        <v>13717.76</v>
      </c>
      <c r="O9" s="755">
        <v>-1.23</v>
      </c>
      <c r="P9" s="755">
        <v>-0.34139999999999998</v>
      </c>
      <c r="Q9" s="755">
        <v>3.4464999999999999</v>
      </c>
      <c r="S9" s="763" t="s">
        <v>627</v>
      </c>
      <c r="T9" s="764">
        <v>4.826077782347913E-2</v>
      </c>
      <c r="U9" s="1"/>
      <c r="V9" s="1"/>
      <c r="W9" s="1"/>
      <c r="X9" s="1"/>
      <c r="Y9" s="1"/>
      <c r="Z9" s="1"/>
    </row>
    <row r="10" spans="1:26">
      <c r="A10" s="755" t="s">
        <v>489</v>
      </c>
      <c r="B10" s="755">
        <v>96.6</v>
      </c>
      <c r="C10" s="2">
        <f t="shared" si="0"/>
        <v>-1.5290519877675823E-2</v>
      </c>
      <c r="K10" s="755" t="s">
        <v>521</v>
      </c>
      <c r="L10" s="755">
        <v>66</v>
      </c>
      <c r="M10" s="755">
        <v>0.50249999999999995</v>
      </c>
      <c r="N10" s="755">
        <v>13888.21</v>
      </c>
      <c r="O10" s="755">
        <v>1.02</v>
      </c>
      <c r="P10" s="755">
        <v>0.56689999999999996</v>
      </c>
      <c r="Q10" s="755">
        <v>6.4399999999999999E-2</v>
      </c>
      <c r="S10" s="763" t="s">
        <v>628</v>
      </c>
      <c r="T10" s="764">
        <v>2.194392775121667</v>
      </c>
      <c r="U10" s="1"/>
      <c r="V10" s="1"/>
      <c r="W10" s="1"/>
      <c r="X10" s="1"/>
      <c r="Y10" s="1"/>
      <c r="Z10" s="1"/>
    </row>
    <row r="11" spans="1:26">
      <c r="A11" s="755" t="s">
        <v>490</v>
      </c>
      <c r="B11" s="755">
        <v>98.1</v>
      </c>
      <c r="C11" s="2">
        <f t="shared" si="0"/>
        <v>-3.4448818897637845E-2</v>
      </c>
      <c r="K11" s="755" t="s">
        <v>522</v>
      </c>
      <c r="L11" s="755">
        <v>65.67</v>
      </c>
      <c r="M11" s="755">
        <v>0.76719999999999999</v>
      </c>
      <c r="N11" s="755">
        <v>13747.52</v>
      </c>
      <c r="O11" s="755">
        <v>1.47</v>
      </c>
      <c r="P11" s="755">
        <v>0.74560000000000004</v>
      </c>
      <c r="Q11" s="755">
        <v>-2.1600000000000001E-2</v>
      </c>
      <c r="S11" s="763" t="s">
        <v>629</v>
      </c>
      <c r="T11" s="1">
        <v>102</v>
      </c>
      <c r="U11" s="1"/>
      <c r="V11" s="1"/>
      <c r="W11" s="1"/>
      <c r="X11" s="1"/>
      <c r="Y11" s="1"/>
      <c r="Z11" s="1"/>
    </row>
    <row r="12" spans="1:26" ht="16" thickBot="1">
      <c r="A12" s="755" t="s">
        <v>491</v>
      </c>
      <c r="B12" s="755">
        <v>101.6</v>
      </c>
      <c r="C12" s="2">
        <f t="shared" si="0"/>
        <v>5.723204994797082E-2</v>
      </c>
      <c r="K12" s="755" t="s">
        <v>523</v>
      </c>
      <c r="L12" s="755">
        <v>65.17</v>
      </c>
      <c r="M12" s="755">
        <v>0.49340000000000001</v>
      </c>
      <c r="N12" s="755">
        <v>13548.86</v>
      </c>
      <c r="O12" s="755">
        <v>-0.28999999999999998</v>
      </c>
      <c r="P12" s="755">
        <v>3.7699999999999997E-2</v>
      </c>
      <c r="Q12" s="755">
        <v>-0.45569999999999999</v>
      </c>
      <c r="S12" s="1174" t="s">
        <v>630</v>
      </c>
      <c r="T12" s="1175"/>
      <c r="U12" s="1175"/>
      <c r="V12" s="1175"/>
      <c r="W12" s="1175"/>
      <c r="X12" s="1175"/>
      <c r="Y12" s="1175"/>
      <c r="Z12" s="1175"/>
    </row>
    <row r="13" spans="1:26">
      <c r="A13" s="755" t="s">
        <v>492</v>
      </c>
      <c r="B13" s="755">
        <v>96.1</v>
      </c>
      <c r="C13" s="2">
        <f t="shared" si="0"/>
        <v>-3.3199195171026319E-2</v>
      </c>
      <c r="K13" s="755" t="s">
        <v>524</v>
      </c>
      <c r="L13" s="755">
        <v>64.849999999999994</v>
      </c>
      <c r="M13" s="755">
        <v>-0.87129999999999996</v>
      </c>
      <c r="N13" s="755">
        <v>13587.98</v>
      </c>
      <c r="O13" s="755">
        <v>1.41</v>
      </c>
      <c r="P13" s="755">
        <v>0.72130000000000005</v>
      </c>
      <c r="Q13" s="755">
        <v>1.5926</v>
      </c>
      <c r="S13" s="765"/>
      <c r="T13" s="765"/>
      <c r="U13" s="765"/>
      <c r="V13" s="765"/>
      <c r="W13" s="765"/>
      <c r="X13" s="765"/>
      <c r="Y13" s="765"/>
      <c r="Z13" s="765"/>
    </row>
    <row r="14" spans="1:26" ht="16" thickBot="1">
      <c r="A14" s="755" t="s">
        <v>493</v>
      </c>
      <c r="B14" s="755">
        <v>99.4</v>
      </c>
      <c r="C14" s="2">
        <f t="shared" si="0"/>
        <v>1.9487179487179596E-2</v>
      </c>
      <c r="K14" s="755" t="s">
        <v>525</v>
      </c>
      <c r="L14" s="755">
        <v>65.42</v>
      </c>
      <c r="M14" s="755">
        <v>3.3491</v>
      </c>
      <c r="N14" s="755">
        <v>13399.6</v>
      </c>
      <c r="O14" s="755">
        <v>2.09</v>
      </c>
      <c r="P14" s="755">
        <v>0.996</v>
      </c>
      <c r="Q14" s="755">
        <v>-2.3531</v>
      </c>
      <c r="S14" s="761" t="s">
        <v>631</v>
      </c>
      <c r="T14" s="762"/>
      <c r="U14" s="762"/>
      <c r="V14" s="762"/>
      <c r="W14" s="762"/>
      <c r="X14" s="762"/>
      <c r="Y14" s="762"/>
      <c r="Z14" s="762"/>
    </row>
    <row r="15" spans="1:26">
      <c r="A15" s="755" t="s">
        <v>494</v>
      </c>
      <c r="B15" s="755">
        <v>97.5</v>
      </c>
      <c r="C15" s="2">
        <f t="shared" si="0"/>
        <v>2.739726027397249E-2</v>
      </c>
      <c r="K15" s="755" t="s">
        <v>526</v>
      </c>
      <c r="L15" s="755">
        <v>63.3</v>
      </c>
      <c r="M15" s="755">
        <v>-0.5655</v>
      </c>
      <c r="N15" s="755">
        <v>13125.7</v>
      </c>
      <c r="O15" s="755">
        <v>-1.17</v>
      </c>
      <c r="P15" s="755">
        <v>-0.31719999999999998</v>
      </c>
      <c r="Q15" s="755">
        <v>0.24829999999999999</v>
      </c>
      <c r="S15" s="766" t="s">
        <v>632</v>
      </c>
      <c r="T15" s="766" t="s">
        <v>633</v>
      </c>
      <c r="U15" s="766" t="s">
        <v>634</v>
      </c>
      <c r="V15" s="766" t="s">
        <v>635</v>
      </c>
      <c r="W15" s="766" t="s">
        <v>636</v>
      </c>
      <c r="X15" s="766" t="s">
        <v>637</v>
      </c>
      <c r="Y15" s="767"/>
      <c r="Z15" s="767"/>
    </row>
    <row r="16" spans="1:26">
      <c r="A16" s="755" t="s">
        <v>495</v>
      </c>
      <c r="B16" s="755">
        <v>94.9</v>
      </c>
      <c r="C16" s="2">
        <f t="shared" si="0"/>
        <v>0.14475271411338952</v>
      </c>
      <c r="K16" s="755" t="s">
        <v>527</v>
      </c>
      <c r="L16" s="755">
        <v>63.66</v>
      </c>
      <c r="M16" s="755">
        <v>2.8100999999999998</v>
      </c>
      <c r="N16" s="755">
        <v>13280.72</v>
      </c>
      <c r="O16" s="755">
        <v>-0.86</v>
      </c>
      <c r="P16" s="755">
        <v>-0.19159999999999999</v>
      </c>
      <c r="Q16" s="755">
        <v>-3.0017</v>
      </c>
      <c r="S16" s="763" t="s">
        <v>638</v>
      </c>
      <c r="T16" s="764">
        <v>1</v>
      </c>
      <c r="U16" s="764">
        <v>29.47725514085343</v>
      </c>
      <c r="V16" s="764">
        <v>29.47725514085343</v>
      </c>
      <c r="W16" s="764">
        <v>6.1215064448266894</v>
      </c>
      <c r="X16" s="764">
        <v>1.5038359724710904E-2</v>
      </c>
      <c r="Y16" s="1"/>
      <c r="Z16" s="1"/>
    </row>
    <row r="17" spans="1:26">
      <c r="A17" s="755" t="s">
        <v>496</v>
      </c>
      <c r="B17" s="755">
        <v>82.9</v>
      </c>
      <c r="C17" s="2">
        <f t="shared" si="0"/>
        <v>-3.2672112018669708E-2</v>
      </c>
      <c r="K17" s="755" t="s">
        <v>528</v>
      </c>
      <c r="L17" s="755">
        <v>61.92</v>
      </c>
      <c r="M17" s="755">
        <v>-0.28989999999999999</v>
      </c>
      <c r="N17" s="755">
        <v>13395.4</v>
      </c>
      <c r="O17" s="755">
        <v>-0.62</v>
      </c>
      <c r="P17" s="755">
        <v>-9.4399999999999998E-2</v>
      </c>
      <c r="Q17" s="755">
        <v>0.19539999999999999</v>
      </c>
      <c r="S17" s="763" t="s">
        <v>639</v>
      </c>
      <c r="T17" s="764">
        <v>100</v>
      </c>
      <c r="U17" s="764">
        <v>481.53596515061713</v>
      </c>
      <c r="V17" s="764">
        <v>4.8153596515061707</v>
      </c>
      <c r="W17" s="1"/>
      <c r="X17" s="1"/>
      <c r="Y17" s="1"/>
      <c r="Z17" s="1"/>
    </row>
    <row r="18" spans="1:26" ht="16" thickBot="1">
      <c r="A18" s="755" t="s">
        <v>497</v>
      </c>
      <c r="B18" s="755">
        <v>85.7</v>
      </c>
      <c r="C18" s="2">
        <f t="shared" si="0"/>
        <v>8.070617906683486E-2</v>
      </c>
      <c r="K18" s="755" t="s">
        <v>529</v>
      </c>
      <c r="L18" s="755">
        <v>62.1</v>
      </c>
      <c r="M18" s="755">
        <v>2.2054</v>
      </c>
      <c r="N18" s="755">
        <v>13478.34</v>
      </c>
      <c r="O18" s="755">
        <v>-0.03</v>
      </c>
      <c r="P18" s="755">
        <v>0.14119999999999999</v>
      </c>
      <c r="Q18" s="755">
        <v>-2.0642</v>
      </c>
      <c r="S18" s="768" t="s">
        <v>3</v>
      </c>
      <c r="T18" s="769">
        <v>101</v>
      </c>
      <c r="U18" s="769">
        <v>511.01322029147053</v>
      </c>
      <c r="V18" s="762"/>
      <c r="W18" s="762"/>
      <c r="X18" s="762"/>
      <c r="Y18" s="762"/>
      <c r="Z18" s="762"/>
    </row>
    <row r="19" spans="1:26" ht="16" thickBot="1">
      <c r="A19" s="755" t="s">
        <v>498</v>
      </c>
      <c r="B19" s="755">
        <v>79.3</v>
      </c>
      <c r="C19" s="2">
        <f t="shared" si="0"/>
        <v>2.4547803617571029E-2</v>
      </c>
      <c r="K19" s="755" t="s">
        <v>530</v>
      </c>
      <c r="L19" s="755">
        <v>60.76</v>
      </c>
      <c r="M19" s="755">
        <v>-8.4526000000000003</v>
      </c>
      <c r="N19" s="755">
        <v>13482.57</v>
      </c>
      <c r="O19" s="755">
        <v>0.78</v>
      </c>
      <c r="P19" s="755">
        <v>0.46829999999999999</v>
      </c>
      <c r="Q19" s="755">
        <v>8.9209999999999994</v>
      </c>
      <c r="S19" s="762"/>
      <c r="T19" s="762"/>
      <c r="U19" s="762"/>
      <c r="V19" s="762"/>
      <c r="W19" s="762"/>
      <c r="X19" s="762"/>
      <c r="Y19" s="762"/>
      <c r="Z19" s="762"/>
    </row>
    <row r="20" spans="1:26">
      <c r="A20" s="755" t="s">
        <v>499</v>
      </c>
      <c r="B20" s="755">
        <v>77.400000000000006</v>
      </c>
      <c r="C20" s="2">
        <f t="shared" si="0"/>
        <v>-5.1413881748071377E-3</v>
      </c>
      <c r="K20" s="755" t="s">
        <v>531</v>
      </c>
      <c r="L20" s="755">
        <v>66.37</v>
      </c>
      <c r="M20" s="755">
        <v>0.1056</v>
      </c>
      <c r="N20" s="755">
        <v>13378.33</v>
      </c>
      <c r="O20" s="755">
        <v>0.31</v>
      </c>
      <c r="P20" s="755">
        <v>0.27760000000000001</v>
      </c>
      <c r="Q20" s="755">
        <v>0.17199999999999999</v>
      </c>
      <c r="S20" s="766" t="s">
        <v>632</v>
      </c>
      <c r="T20" s="766" t="s">
        <v>640</v>
      </c>
      <c r="U20" s="766" t="s">
        <v>628</v>
      </c>
      <c r="V20" s="766" t="s">
        <v>641</v>
      </c>
      <c r="W20" s="766" t="s">
        <v>642</v>
      </c>
      <c r="X20" s="766" t="s">
        <v>643</v>
      </c>
      <c r="Y20" s="770" t="s">
        <v>637</v>
      </c>
      <c r="Z20" s="770" t="s">
        <v>644</v>
      </c>
    </row>
    <row r="21" spans="1:26">
      <c r="A21" s="755" t="s">
        <v>500</v>
      </c>
      <c r="B21" s="755">
        <v>77.8</v>
      </c>
      <c r="C21" s="2">
        <f t="shared" si="0"/>
        <v>-5.5825242718446688E-2</v>
      </c>
      <c r="K21" s="755" t="s">
        <v>532</v>
      </c>
      <c r="L21" s="755">
        <v>66.3</v>
      </c>
      <c r="M21" s="755">
        <v>0.75990000000000002</v>
      </c>
      <c r="N21" s="755">
        <v>13337.46</v>
      </c>
      <c r="O21" s="755">
        <v>-0.46</v>
      </c>
      <c r="P21" s="755">
        <v>-3.27E-2</v>
      </c>
      <c r="Q21" s="755">
        <v>-0.79259999999999997</v>
      </c>
      <c r="S21" s="771" t="s">
        <v>645</v>
      </c>
      <c r="T21" s="764">
        <v>0.17134819262306006</v>
      </c>
      <c r="U21" s="764">
        <v>0.21836649762638741</v>
      </c>
      <c r="V21" s="764">
        <v>-0.34491767326992373</v>
      </c>
      <c r="W21" s="764">
        <v>0.68761405851604385</v>
      </c>
      <c r="X21" s="764">
        <v>0.78468169103589791</v>
      </c>
      <c r="Y21" s="764">
        <v>0.43449517773491009</v>
      </c>
      <c r="Z21" s="763" t="s">
        <v>646</v>
      </c>
    </row>
    <row r="22" spans="1:26">
      <c r="A22" s="755" t="s">
        <v>501</v>
      </c>
      <c r="B22" s="755">
        <v>82.4</v>
      </c>
      <c r="C22" s="2" t="e">
        <f t="shared" si="0"/>
        <v>#DIV/0!</v>
      </c>
      <c r="K22" s="755" t="s">
        <v>533</v>
      </c>
      <c r="L22" s="755">
        <v>65.8</v>
      </c>
      <c r="M22" s="755">
        <v>-0.96330000000000005</v>
      </c>
      <c r="N22" s="755">
        <v>13399.42</v>
      </c>
      <c r="O22" s="755">
        <v>2</v>
      </c>
      <c r="P22" s="755">
        <v>0.96289999999999998</v>
      </c>
      <c r="Q22" s="755">
        <v>1.9261999999999999</v>
      </c>
      <c r="S22" s="771" t="s">
        <v>651</v>
      </c>
      <c r="T22" s="764">
        <v>0.4024439496667544</v>
      </c>
      <c r="U22" s="764">
        <v>0.16265830676082557</v>
      </c>
      <c r="V22" s="764">
        <v>1.7884356059861006E-2</v>
      </c>
      <c r="W22" s="764">
        <v>0.78700354327364774</v>
      </c>
      <c r="X22" s="764">
        <v>2.4741678287510522</v>
      </c>
      <c r="Y22" s="764">
        <v>1.5038359724710904E-2</v>
      </c>
      <c r="Z22" s="763" t="s">
        <v>647</v>
      </c>
    </row>
    <row r="23" spans="1:26">
      <c r="A23" s="755"/>
      <c r="B23" s="755"/>
      <c r="K23" s="755" t="s">
        <v>534</v>
      </c>
      <c r="L23" s="755">
        <v>66.44</v>
      </c>
      <c r="M23" s="755">
        <v>0.88070000000000004</v>
      </c>
      <c r="N23" s="755">
        <v>13136.09</v>
      </c>
      <c r="O23" s="755">
        <v>1.89</v>
      </c>
      <c r="P23" s="755">
        <v>0.91759999999999997</v>
      </c>
      <c r="Q23" s="755">
        <v>3.6999999999999998E-2</v>
      </c>
      <c r="S23" s="772" t="s">
        <v>648</v>
      </c>
      <c r="T23" s="773">
        <v>2.3642173662385022</v>
      </c>
      <c r="U23" s="774"/>
      <c r="V23" s="774"/>
      <c r="W23" s="774"/>
      <c r="X23" s="774"/>
      <c r="Y23" s="774"/>
      <c r="Z23" s="774"/>
    </row>
    <row r="24" spans="1:26">
      <c r="K24" s="755" t="s">
        <v>535</v>
      </c>
      <c r="L24" s="755">
        <v>65.86</v>
      </c>
      <c r="M24" s="755">
        <v>2.3464999999999998</v>
      </c>
      <c r="N24" s="755">
        <v>12892.11</v>
      </c>
      <c r="O24" s="755">
        <v>1.05</v>
      </c>
      <c r="P24" s="755">
        <v>0.57599999999999996</v>
      </c>
      <c r="Q24" s="755">
        <v>-1.7705</v>
      </c>
      <c r="S24" s="1176" t="s">
        <v>649</v>
      </c>
      <c r="T24" s="1177"/>
      <c r="U24" s="1177"/>
      <c r="V24" s="1177"/>
      <c r="W24" s="1"/>
      <c r="X24" s="1"/>
      <c r="Y24" s="1"/>
      <c r="Z24" s="1"/>
    </row>
    <row r="25" spans="1:26">
      <c r="K25" s="755" t="s">
        <v>536</v>
      </c>
      <c r="L25" s="755">
        <v>64.349999999999994</v>
      </c>
      <c r="M25" s="755">
        <v>-0.60240000000000005</v>
      </c>
      <c r="N25" s="755">
        <v>12758.65</v>
      </c>
      <c r="O25" s="755">
        <v>-0.67</v>
      </c>
      <c r="P25" s="755">
        <v>-0.1145</v>
      </c>
      <c r="Q25" s="755">
        <v>0.4879</v>
      </c>
      <c r="S25" s="1176" t="s">
        <v>650</v>
      </c>
      <c r="T25" s="1177"/>
      <c r="U25" s="1177"/>
      <c r="V25" s="1177"/>
      <c r="W25" s="1"/>
      <c r="X25" s="1"/>
      <c r="Y25" s="1"/>
      <c r="Z25" s="1"/>
    </row>
    <row r="26" spans="1:26">
      <c r="K26" s="755" t="s">
        <v>537</v>
      </c>
      <c r="L26" s="755">
        <v>64.739999999999995</v>
      </c>
      <c r="M26" s="755">
        <v>0.41880000000000001</v>
      </c>
      <c r="N26" s="755">
        <v>12844.08</v>
      </c>
      <c r="O26" s="755">
        <v>0.28999999999999998</v>
      </c>
      <c r="P26" s="755">
        <v>0.27239999999999998</v>
      </c>
      <c r="Q26" s="755">
        <v>-0.1464</v>
      </c>
    </row>
    <row r="27" spans="1:26">
      <c r="K27" s="755" t="s">
        <v>538</v>
      </c>
      <c r="L27" s="755">
        <v>64.47</v>
      </c>
      <c r="M27" s="755">
        <v>-2.8919999999999999</v>
      </c>
      <c r="N27" s="755">
        <v>12806.47</v>
      </c>
      <c r="O27" s="755">
        <v>0.65</v>
      </c>
      <c r="P27" s="755">
        <v>0.41739999999999999</v>
      </c>
      <c r="Q27" s="755">
        <v>3.3094000000000001</v>
      </c>
    </row>
    <row r="28" spans="1:26">
      <c r="K28" s="755" t="s">
        <v>539</v>
      </c>
      <c r="L28" s="755">
        <v>66.39</v>
      </c>
      <c r="M28" s="755">
        <v>4.5199999999999997E-2</v>
      </c>
      <c r="N28" s="755">
        <v>12723.4</v>
      </c>
      <c r="O28" s="755">
        <v>-0.76</v>
      </c>
      <c r="P28" s="755">
        <v>-0.15310000000000001</v>
      </c>
      <c r="Q28" s="755">
        <v>-0.1983</v>
      </c>
    </row>
    <row r="29" spans="1:26">
      <c r="K29" s="755" t="s">
        <v>540</v>
      </c>
      <c r="L29" s="755">
        <v>66.36</v>
      </c>
      <c r="M29" s="755">
        <v>-1.6013999999999999</v>
      </c>
      <c r="N29" s="755">
        <v>12820.92</v>
      </c>
      <c r="O29" s="755">
        <v>1.32</v>
      </c>
      <c r="P29" s="755">
        <v>0.68659999999999999</v>
      </c>
      <c r="Q29" s="755">
        <v>2.2879999999999998</v>
      </c>
    </row>
    <row r="30" spans="1:26">
      <c r="K30" s="755" t="s">
        <v>541</v>
      </c>
      <c r="L30" s="755">
        <v>67.44</v>
      </c>
      <c r="M30" s="755">
        <v>-0.98370000000000002</v>
      </c>
      <c r="N30" s="755">
        <v>12653.9</v>
      </c>
      <c r="O30" s="755">
        <v>-0.85</v>
      </c>
      <c r="P30" s="755">
        <v>-0.18890000000000001</v>
      </c>
      <c r="Q30" s="755">
        <v>0.79479999999999995</v>
      </c>
    </row>
    <row r="31" spans="1:26">
      <c r="A31" s="757" t="s">
        <v>465</v>
      </c>
      <c r="B31" s="757"/>
      <c r="C31" s="757"/>
      <c r="D31" s="758">
        <v>0.43</v>
      </c>
      <c r="E31" s="759"/>
      <c r="F31" s="759"/>
      <c r="G31" s="759"/>
      <c r="K31" s="755" t="s">
        <v>542</v>
      </c>
      <c r="L31" s="755">
        <v>68.11</v>
      </c>
      <c r="M31" s="755">
        <v>-2.3372999999999999</v>
      </c>
      <c r="N31" s="755">
        <v>12762.3</v>
      </c>
      <c r="O31" s="755">
        <v>0.2</v>
      </c>
      <c r="P31" s="755">
        <v>0.23430000000000001</v>
      </c>
      <c r="Q31" s="755">
        <v>2.5716000000000001</v>
      </c>
    </row>
    <row r="32" spans="1:26">
      <c r="A32" s="757" t="s">
        <v>468</v>
      </c>
      <c r="B32" s="757"/>
      <c r="C32" s="757"/>
      <c r="D32" s="759">
        <v>1.47E-2</v>
      </c>
      <c r="E32" s="759">
        <v>1.272E-2</v>
      </c>
      <c r="F32" s="759">
        <v>4.4200000000000003E-3</v>
      </c>
      <c r="G32" s="759">
        <v>4.2430000000000002E-2</v>
      </c>
      <c r="K32" s="755" t="s">
        <v>543</v>
      </c>
      <c r="L32" s="755">
        <v>69.739999999999995</v>
      </c>
      <c r="M32" s="755">
        <v>-4.3216000000000001</v>
      </c>
      <c r="N32" s="755">
        <v>12736.92</v>
      </c>
      <c r="O32" s="755">
        <v>1.55</v>
      </c>
      <c r="P32" s="755">
        <v>0.78069999999999995</v>
      </c>
      <c r="Q32" s="755">
        <v>5.1021999999999998</v>
      </c>
    </row>
    <row r="33" spans="1:17">
      <c r="A33" s="755" t="s">
        <v>466</v>
      </c>
      <c r="B33" s="755"/>
      <c r="C33" s="755"/>
      <c r="D33" s="755"/>
      <c r="E33" s="759">
        <v>1.857E-2</v>
      </c>
      <c r="F33" s="759"/>
      <c r="G33" s="759"/>
      <c r="K33" s="755" t="s">
        <v>544</v>
      </c>
      <c r="L33" s="755">
        <v>72.89</v>
      </c>
      <c r="M33" s="755">
        <v>-1.6993</v>
      </c>
      <c r="N33" s="755">
        <v>12542.13</v>
      </c>
      <c r="O33" s="755">
        <v>-0.48</v>
      </c>
      <c r="P33" s="755">
        <v>-4.1799999999999997E-2</v>
      </c>
      <c r="Q33" s="755">
        <v>1.6574</v>
      </c>
    </row>
    <row r="34" spans="1:17">
      <c r="A34" s="757"/>
      <c r="B34" s="757"/>
      <c r="C34" s="757"/>
      <c r="D34" s="759"/>
      <c r="E34" s="759"/>
      <c r="F34" s="759"/>
      <c r="G34" s="759"/>
      <c r="K34" s="755" t="s">
        <v>545</v>
      </c>
      <c r="L34" s="755">
        <v>74.150000000000006</v>
      </c>
      <c r="M34" s="755">
        <v>1.4363999999999999</v>
      </c>
      <c r="N34" s="755">
        <v>12603.25</v>
      </c>
      <c r="O34" s="755">
        <v>-0.35</v>
      </c>
      <c r="P34" s="755">
        <v>1.14E-2</v>
      </c>
      <c r="Q34" s="755">
        <v>-1.425</v>
      </c>
    </row>
    <row r="35" spans="1:17">
      <c r="A35" s="757" t="s">
        <v>467</v>
      </c>
      <c r="B35" s="755"/>
      <c r="C35" s="755"/>
      <c r="D35" s="760">
        <v>0.19517000000000001</v>
      </c>
      <c r="E35" s="760">
        <v>-9.511E-2</v>
      </c>
      <c r="F35" s="760">
        <v>4.9399999999999999E-3</v>
      </c>
      <c r="G35" s="760">
        <v>1.082E-2</v>
      </c>
      <c r="K35" s="755" t="s">
        <v>546</v>
      </c>
      <c r="L35" s="755">
        <v>73.099999999999994</v>
      </c>
      <c r="M35" s="755">
        <v>0.85540000000000005</v>
      </c>
      <c r="N35" s="755">
        <v>12647.9</v>
      </c>
      <c r="O35" s="755">
        <v>-0.28999999999999998</v>
      </c>
      <c r="P35" s="755">
        <v>3.5499999999999997E-2</v>
      </c>
      <c r="Q35" s="755">
        <v>-0.82</v>
      </c>
    </row>
    <row r="36" spans="1:17">
      <c r="A36" s="755" t="s">
        <v>469</v>
      </c>
      <c r="B36" s="757"/>
      <c r="C36" s="757"/>
      <c r="D36" s="757"/>
      <c r="E36" s="759">
        <v>2.896E-2</v>
      </c>
      <c r="F36" s="757"/>
      <c r="G36" s="757"/>
      <c r="K36" s="755" t="s">
        <v>547</v>
      </c>
      <c r="L36" s="755">
        <v>72.48</v>
      </c>
      <c r="M36" s="755">
        <v>2.8668999999999998</v>
      </c>
      <c r="N36" s="755">
        <v>12685.13</v>
      </c>
      <c r="O36" s="755">
        <v>1.79</v>
      </c>
      <c r="P36" s="755">
        <v>0.87590000000000001</v>
      </c>
      <c r="Q36" s="755">
        <v>-1.9910000000000001</v>
      </c>
    </row>
    <row r="37" spans="1:17">
      <c r="A37" s="757"/>
      <c r="B37" s="757"/>
      <c r="C37" s="757"/>
      <c r="D37" s="757"/>
      <c r="E37" s="757"/>
      <c r="F37" s="757">
        <v>1.4642199E-2</v>
      </c>
      <c r="G37" s="757"/>
      <c r="K37" s="755" t="s">
        <v>548</v>
      </c>
      <c r="L37" s="755">
        <v>70.459999999999994</v>
      </c>
      <c r="M37" s="755">
        <v>2.6515</v>
      </c>
      <c r="N37" s="755">
        <v>12462.18</v>
      </c>
      <c r="O37" s="755">
        <v>2.7</v>
      </c>
      <c r="P37" s="755">
        <v>1.2423</v>
      </c>
      <c r="Q37" s="755">
        <v>-1.4092</v>
      </c>
    </row>
    <row r="38" spans="1:17">
      <c r="A38" s="757"/>
      <c r="B38" s="757"/>
      <c r="C38" s="757"/>
      <c r="D38" s="757"/>
      <c r="E38" s="757"/>
      <c r="F38" s="758">
        <v>0.12</v>
      </c>
      <c r="G38" s="757"/>
      <c r="K38" s="755" t="s">
        <v>549</v>
      </c>
      <c r="L38" s="755">
        <v>68.64</v>
      </c>
      <c r="M38" s="755">
        <v>-2.6107</v>
      </c>
      <c r="N38" s="755">
        <v>12134.91</v>
      </c>
      <c r="O38" s="755">
        <v>0.05</v>
      </c>
      <c r="P38" s="755">
        <v>0.17319999999999999</v>
      </c>
      <c r="Q38" s="755">
        <v>2.7839</v>
      </c>
    </row>
    <row r="39" spans="1:17">
      <c r="A39" s="757"/>
      <c r="B39" s="757"/>
      <c r="C39" s="757"/>
      <c r="D39" s="757"/>
      <c r="E39" s="757"/>
      <c r="F39" s="757"/>
      <c r="G39" s="757"/>
      <c r="K39" s="755" t="s">
        <v>550</v>
      </c>
      <c r="L39" s="755">
        <v>70.48</v>
      </c>
      <c r="M39" s="755">
        <v>1.3809</v>
      </c>
      <c r="N39" s="755">
        <v>12129.11</v>
      </c>
      <c r="O39" s="755">
        <v>1.1100000000000001</v>
      </c>
      <c r="P39" s="755">
        <v>0.60289999999999999</v>
      </c>
      <c r="Q39" s="755">
        <v>-0.77800000000000002</v>
      </c>
    </row>
    <row r="40" spans="1:17">
      <c r="A40" s="757"/>
      <c r="B40" s="757" t="s">
        <v>505</v>
      </c>
      <c r="D40" s="757">
        <v>1.0511141999999999E-2</v>
      </c>
      <c r="E40" s="757"/>
      <c r="F40" s="757"/>
      <c r="G40" s="757"/>
      <c r="K40" s="755" t="s">
        <v>551</v>
      </c>
      <c r="L40" s="755">
        <v>69.52</v>
      </c>
      <c r="M40" s="755">
        <v>0.98780000000000001</v>
      </c>
      <c r="N40" s="755">
        <v>11995.66</v>
      </c>
      <c r="O40" s="755">
        <v>-1.57</v>
      </c>
      <c r="P40" s="755">
        <v>-0.48089999999999999</v>
      </c>
      <c r="Q40" s="755">
        <v>-1.4686999999999999</v>
      </c>
    </row>
    <row r="41" spans="1:17">
      <c r="A41" s="757"/>
      <c r="B41" s="757" t="s">
        <v>506</v>
      </c>
      <c r="C41" s="757"/>
      <c r="D41" s="759">
        <f>E36+D40</f>
        <v>3.9471142000000001E-2</v>
      </c>
      <c r="E41" s="757"/>
      <c r="F41" s="757"/>
      <c r="G41" s="757"/>
      <c r="K41" s="755" t="s">
        <v>552</v>
      </c>
      <c r="L41" s="755">
        <v>68.84</v>
      </c>
      <c r="M41" s="755">
        <v>1.1758</v>
      </c>
      <c r="N41" s="755">
        <v>12187.36</v>
      </c>
      <c r="O41" s="755">
        <v>-1.5</v>
      </c>
      <c r="P41" s="755">
        <v>-0.4526</v>
      </c>
      <c r="Q41" s="755">
        <v>-1.6283000000000001</v>
      </c>
    </row>
    <row r="42" spans="1:17">
      <c r="A42" s="757"/>
      <c r="B42" s="757"/>
      <c r="C42" s="757"/>
      <c r="E42" s="757"/>
      <c r="F42" s="757"/>
      <c r="G42" s="757"/>
      <c r="K42" s="755" t="s">
        <v>553</v>
      </c>
      <c r="L42" s="755">
        <v>68.040000000000006</v>
      </c>
      <c r="M42" s="755">
        <v>-1.9738</v>
      </c>
      <c r="N42" s="755">
        <v>12373.3</v>
      </c>
      <c r="O42" s="755">
        <v>-2.19</v>
      </c>
      <c r="P42" s="755">
        <v>-0.73009999999999997</v>
      </c>
      <c r="Q42" s="755">
        <v>1.2436</v>
      </c>
    </row>
    <row r="43" spans="1:17">
      <c r="A43" s="757"/>
      <c r="B43" s="757"/>
      <c r="C43" s="757"/>
      <c r="D43" s="757"/>
      <c r="E43" s="757"/>
      <c r="F43" s="757"/>
      <c r="G43" s="757"/>
      <c r="K43" s="755" t="s">
        <v>554</v>
      </c>
      <c r="L43" s="755">
        <v>69.41</v>
      </c>
      <c r="M43" s="755">
        <v>-0.98429999999999995</v>
      </c>
      <c r="N43" s="755">
        <v>12650.42</v>
      </c>
      <c r="O43" s="755">
        <v>-0.13</v>
      </c>
      <c r="P43" s="755">
        <v>0.1004</v>
      </c>
      <c r="Q43" s="755">
        <v>1.0847</v>
      </c>
    </row>
    <row r="44" spans="1:17">
      <c r="A44" s="757"/>
      <c r="B44" s="757"/>
      <c r="C44" s="757"/>
      <c r="D44" s="757"/>
      <c r="E44" s="757"/>
      <c r="F44" s="757"/>
      <c r="G44" s="757"/>
      <c r="K44" s="755" t="s">
        <v>555</v>
      </c>
      <c r="L44" s="755">
        <v>70.099999999999994</v>
      </c>
      <c r="M44" s="755">
        <v>-3.3102999999999998</v>
      </c>
      <c r="N44" s="755">
        <v>12667.22</v>
      </c>
      <c r="O44" s="755">
        <v>0.43</v>
      </c>
      <c r="P44" s="755">
        <v>0.32719999999999999</v>
      </c>
      <c r="Q44" s="755">
        <v>3.6375999999999999</v>
      </c>
    </row>
    <row r="45" spans="1:17">
      <c r="A45" s="757"/>
      <c r="B45" s="757"/>
      <c r="C45" s="757"/>
      <c r="D45" s="757"/>
      <c r="E45" s="757"/>
      <c r="F45" s="757"/>
      <c r="G45" s="757"/>
      <c r="K45" s="755" t="s">
        <v>556</v>
      </c>
      <c r="L45" s="755">
        <v>72.5</v>
      </c>
      <c r="M45" s="755">
        <v>4.3315999999999999</v>
      </c>
      <c r="N45" s="755">
        <v>12613.05</v>
      </c>
      <c r="O45" s="755">
        <v>0.19</v>
      </c>
      <c r="P45" s="755">
        <v>0.23069999999999999</v>
      </c>
      <c r="Q45" s="755">
        <v>-4.1009000000000002</v>
      </c>
    </row>
    <row r="46" spans="1:17">
      <c r="A46" s="757"/>
      <c r="B46" s="757"/>
      <c r="C46" s="757"/>
      <c r="D46" s="757"/>
      <c r="E46" s="757"/>
      <c r="F46" s="757"/>
      <c r="G46" s="757"/>
      <c r="K46" s="755" t="s">
        <v>557</v>
      </c>
      <c r="L46" s="755">
        <v>69.489999999999995</v>
      </c>
      <c r="M46" s="755">
        <v>0.36109999999999998</v>
      </c>
      <c r="N46" s="755">
        <v>12589.09</v>
      </c>
      <c r="O46" s="755">
        <v>1.21</v>
      </c>
      <c r="P46" s="755">
        <v>0.64400000000000002</v>
      </c>
      <c r="Q46" s="755">
        <v>0.28299999999999997</v>
      </c>
    </row>
    <row r="47" spans="1:17">
      <c r="A47" s="757"/>
      <c r="B47" s="757"/>
      <c r="C47" s="757"/>
      <c r="D47" s="757"/>
      <c r="E47" s="757"/>
      <c r="F47" s="757"/>
      <c r="G47" s="757"/>
      <c r="K47" s="755" t="s">
        <v>558</v>
      </c>
      <c r="L47" s="755">
        <v>69.239999999999995</v>
      </c>
      <c r="M47" s="755">
        <v>4.7504</v>
      </c>
      <c r="N47" s="755">
        <v>12438.03</v>
      </c>
      <c r="O47" s="755">
        <v>1.78</v>
      </c>
      <c r="P47" s="755">
        <v>0.87329999999999997</v>
      </c>
      <c r="Q47" s="755">
        <v>-3.8771</v>
      </c>
    </row>
    <row r="48" spans="1:17">
      <c r="A48" s="757"/>
      <c r="B48" s="757"/>
      <c r="C48" s="757"/>
      <c r="D48" s="757"/>
      <c r="E48" s="757"/>
      <c r="F48" s="757"/>
      <c r="G48" s="757"/>
      <c r="K48" s="755" t="s">
        <v>559</v>
      </c>
      <c r="L48" s="755">
        <v>66.099999999999994</v>
      </c>
      <c r="M48" s="755">
        <v>0.96230000000000004</v>
      </c>
      <c r="N48" s="755">
        <v>12220.2</v>
      </c>
      <c r="O48" s="755">
        <v>1.28</v>
      </c>
      <c r="P48" s="755">
        <v>0.67120000000000002</v>
      </c>
      <c r="Q48" s="755">
        <v>-0.29110000000000003</v>
      </c>
    </row>
    <row r="49" spans="1:17">
      <c r="A49" s="757"/>
      <c r="B49" s="757"/>
      <c r="C49" s="757"/>
      <c r="D49" s="757"/>
      <c r="E49" s="757"/>
      <c r="F49" s="757"/>
      <c r="G49" s="757"/>
      <c r="K49" s="755" t="s">
        <v>560</v>
      </c>
      <c r="L49" s="755">
        <v>65.47</v>
      </c>
      <c r="M49" s="755">
        <v>1.5984</v>
      </c>
      <c r="N49" s="755">
        <v>12065.55</v>
      </c>
      <c r="O49" s="755">
        <v>-2.2000000000000002</v>
      </c>
      <c r="P49" s="755">
        <v>-0.7359</v>
      </c>
      <c r="Q49" s="755">
        <v>-2.3342999999999998</v>
      </c>
    </row>
    <row r="50" spans="1:17">
      <c r="A50" s="757"/>
      <c r="B50" s="757"/>
      <c r="C50" s="757"/>
      <c r="D50" s="757"/>
      <c r="E50" s="757"/>
      <c r="F50" s="757"/>
      <c r="G50" s="757"/>
      <c r="K50" s="755" t="s">
        <v>561</v>
      </c>
      <c r="L50" s="755">
        <v>64.44</v>
      </c>
      <c r="M50" s="755">
        <v>2.5461</v>
      </c>
      <c r="N50" s="755">
        <v>12337.59</v>
      </c>
      <c r="O50" s="755">
        <v>0.05</v>
      </c>
      <c r="P50" s="755">
        <v>0.17269999999999999</v>
      </c>
      <c r="Q50" s="755">
        <v>-2.3734999999999999</v>
      </c>
    </row>
    <row r="51" spans="1:17">
      <c r="A51" s="757"/>
      <c r="B51" s="757"/>
      <c r="C51" s="757"/>
      <c r="D51" s="757"/>
      <c r="E51" s="757"/>
      <c r="F51" s="757"/>
      <c r="G51" s="757"/>
      <c r="K51" s="755" t="s">
        <v>562</v>
      </c>
      <c r="L51" s="755">
        <v>62.84</v>
      </c>
      <c r="M51" s="755">
        <v>-1.2726</v>
      </c>
      <c r="N51" s="755">
        <v>12331.85</v>
      </c>
      <c r="O51" s="755">
        <v>-3.28</v>
      </c>
      <c r="P51" s="755">
        <v>-1.1693</v>
      </c>
      <c r="Q51" s="755">
        <v>0.1033</v>
      </c>
    </row>
    <row r="52" spans="1:17">
      <c r="K52" s="755" t="s">
        <v>563</v>
      </c>
      <c r="L52" s="755">
        <v>63.65</v>
      </c>
      <c r="M52" s="755">
        <v>0.39429999999999998</v>
      </c>
      <c r="N52" s="755">
        <v>12749.9</v>
      </c>
      <c r="O52" s="755">
        <v>-0.06</v>
      </c>
      <c r="P52" s="755">
        <v>0.1303</v>
      </c>
      <c r="Q52" s="755">
        <v>-0.26400000000000001</v>
      </c>
    </row>
    <row r="53" spans="1:17">
      <c r="K53" s="755" t="s">
        <v>564</v>
      </c>
      <c r="L53" s="755">
        <v>63.4</v>
      </c>
      <c r="M53" s="755">
        <v>0.4118</v>
      </c>
      <c r="N53" s="755">
        <v>12757.35</v>
      </c>
      <c r="O53" s="755">
        <v>-0.56999999999999995</v>
      </c>
      <c r="P53" s="755">
        <v>-7.4700000000000003E-2</v>
      </c>
      <c r="Q53" s="755">
        <v>-0.48649999999999999</v>
      </c>
    </row>
    <row r="54" spans="1:17">
      <c r="K54" s="755" t="s">
        <v>565</v>
      </c>
      <c r="L54" s="755">
        <v>63.14</v>
      </c>
      <c r="M54" s="755">
        <v>-2.6217999999999999</v>
      </c>
      <c r="N54" s="755">
        <v>12830.03</v>
      </c>
      <c r="O54" s="755">
        <v>-0.04</v>
      </c>
      <c r="P54" s="755">
        <v>0.13639999999999999</v>
      </c>
      <c r="Q54" s="755">
        <v>2.7582</v>
      </c>
    </row>
    <row r="55" spans="1:17">
      <c r="K55" s="755" t="s">
        <v>566</v>
      </c>
      <c r="L55" s="755">
        <v>64.84</v>
      </c>
      <c r="M55" s="755">
        <v>-0.29220000000000002</v>
      </c>
      <c r="N55" s="755">
        <v>12835.61</v>
      </c>
      <c r="O55" s="755">
        <v>0.49</v>
      </c>
      <c r="P55" s="755">
        <v>0.3513</v>
      </c>
      <c r="Q55" s="755">
        <v>0.64349999999999996</v>
      </c>
    </row>
    <row r="56" spans="1:17">
      <c r="K56" s="755" t="s">
        <v>567</v>
      </c>
      <c r="L56" s="755">
        <v>65.03</v>
      </c>
      <c r="M56" s="755">
        <v>0.44790000000000002</v>
      </c>
      <c r="N56" s="755">
        <v>12773.12</v>
      </c>
      <c r="O56" s="755">
        <v>0.56000000000000005</v>
      </c>
      <c r="P56" s="755">
        <v>0.38100000000000001</v>
      </c>
      <c r="Q56" s="755">
        <v>-6.6900000000000001E-2</v>
      </c>
    </row>
    <row r="57" spans="1:17">
      <c r="K57" s="755" t="s">
        <v>568</v>
      </c>
      <c r="L57" s="755">
        <v>64.739999999999995</v>
      </c>
      <c r="M57" s="755">
        <v>0.63729999999999998</v>
      </c>
      <c r="N57" s="755">
        <v>12701.63</v>
      </c>
      <c r="O57" s="755">
        <v>0.12</v>
      </c>
      <c r="P57" s="755">
        <v>0.2016</v>
      </c>
      <c r="Q57" s="755">
        <v>-0.43569999999999998</v>
      </c>
    </row>
    <row r="58" spans="1:17">
      <c r="K58" s="755" t="s">
        <v>569</v>
      </c>
      <c r="L58" s="755">
        <v>64.33</v>
      </c>
      <c r="M58" s="755">
        <v>0.21809999999999999</v>
      </c>
      <c r="N58" s="755">
        <v>12686.63</v>
      </c>
      <c r="O58" s="755">
        <v>-0.9</v>
      </c>
      <c r="P58" s="755">
        <v>-0.2074</v>
      </c>
      <c r="Q58" s="755">
        <v>-0.42549999999999999</v>
      </c>
    </row>
    <row r="59" spans="1:17">
      <c r="K59" s="755" t="s">
        <v>570</v>
      </c>
      <c r="L59" s="755">
        <v>64.19</v>
      </c>
      <c r="M59" s="755">
        <v>3.6659999999999999</v>
      </c>
      <c r="N59" s="755">
        <v>12801.23</v>
      </c>
      <c r="O59" s="755">
        <v>0.25</v>
      </c>
      <c r="P59" s="755">
        <v>0.25629999999999997</v>
      </c>
      <c r="Q59" s="755">
        <v>-3.4097</v>
      </c>
    </row>
    <row r="60" spans="1:17">
      <c r="K60" s="755" t="s">
        <v>571</v>
      </c>
      <c r="L60" s="755">
        <v>61.92</v>
      </c>
      <c r="M60" s="755">
        <v>-4.8994</v>
      </c>
      <c r="N60" s="755">
        <v>12768.83</v>
      </c>
      <c r="O60" s="755">
        <v>-0.37</v>
      </c>
      <c r="P60" s="755">
        <v>3.3999999999999998E-3</v>
      </c>
      <c r="Q60" s="755">
        <v>4.9028</v>
      </c>
    </row>
    <row r="61" spans="1:17">
      <c r="K61" s="755" t="s">
        <v>572</v>
      </c>
      <c r="L61" s="755">
        <v>65.11</v>
      </c>
      <c r="M61" s="755">
        <v>4.0095999999999998</v>
      </c>
      <c r="N61" s="755">
        <v>12816.63</v>
      </c>
      <c r="O61" s="755">
        <v>0.71</v>
      </c>
      <c r="P61" s="755">
        <v>0.44230000000000003</v>
      </c>
      <c r="Q61" s="755">
        <v>-3.5672999999999999</v>
      </c>
    </row>
    <row r="62" spans="1:17">
      <c r="K62" s="755" t="s">
        <v>573</v>
      </c>
      <c r="L62" s="755">
        <v>62.6</v>
      </c>
      <c r="M62" s="755">
        <v>0.87009999999999998</v>
      </c>
      <c r="N62" s="755">
        <v>12725.69</v>
      </c>
      <c r="O62" s="755">
        <v>0.98</v>
      </c>
      <c r="P62" s="755">
        <v>0.5494</v>
      </c>
      <c r="Q62" s="755">
        <v>-0.32069999999999999</v>
      </c>
    </row>
    <row r="63" spans="1:17">
      <c r="K63" s="755" t="s">
        <v>574</v>
      </c>
      <c r="L63" s="755">
        <v>62.06</v>
      </c>
      <c r="M63" s="755">
        <v>-1.6326000000000001</v>
      </c>
      <c r="N63" s="755">
        <v>12602.18</v>
      </c>
      <c r="O63" s="755">
        <v>0.49</v>
      </c>
      <c r="P63" s="755">
        <v>0.35139999999999999</v>
      </c>
      <c r="Q63" s="755">
        <v>1.984</v>
      </c>
    </row>
    <row r="64" spans="1:17">
      <c r="K64" s="755" t="s">
        <v>575</v>
      </c>
      <c r="L64" s="755">
        <v>63.09</v>
      </c>
      <c r="M64" s="755">
        <v>-0.4733</v>
      </c>
      <c r="N64" s="755">
        <v>12540.81</v>
      </c>
      <c r="O64" s="755">
        <v>1.82</v>
      </c>
      <c r="P64" s="755">
        <v>0.8901</v>
      </c>
      <c r="Q64" s="755">
        <v>1.3633999999999999</v>
      </c>
    </row>
    <row r="65" spans="11:17">
      <c r="K65" s="755" t="s">
        <v>576</v>
      </c>
      <c r="L65" s="755">
        <v>63.39</v>
      </c>
      <c r="M65" s="755">
        <v>1.5800000000000002E-2</v>
      </c>
      <c r="N65" s="755">
        <v>12316.12</v>
      </c>
      <c r="O65" s="755">
        <v>-0.56000000000000005</v>
      </c>
      <c r="P65" s="755">
        <v>-7.2800000000000004E-2</v>
      </c>
      <c r="Q65" s="755">
        <v>-8.8599999999999998E-2</v>
      </c>
    </row>
    <row r="66" spans="11:17">
      <c r="K66" s="755" t="s">
        <v>577</v>
      </c>
      <c r="L66" s="755">
        <v>63.38</v>
      </c>
      <c r="M66" s="755">
        <v>2.4075000000000002</v>
      </c>
      <c r="N66" s="755">
        <v>12385.7</v>
      </c>
      <c r="O66" s="755">
        <v>0.72</v>
      </c>
      <c r="P66" s="755">
        <v>0.44590000000000002</v>
      </c>
      <c r="Q66" s="755">
        <v>-1.9616</v>
      </c>
    </row>
    <row r="67" spans="11:17">
      <c r="K67" s="755" t="s">
        <v>578</v>
      </c>
      <c r="L67" s="755">
        <v>61.89</v>
      </c>
      <c r="M67" s="755">
        <v>0.4708</v>
      </c>
      <c r="N67" s="755">
        <v>12296.72</v>
      </c>
      <c r="O67" s="755">
        <v>1.1299999999999999</v>
      </c>
      <c r="P67" s="755">
        <v>0.60899999999999999</v>
      </c>
      <c r="Q67" s="755">
        <v>0.13819999999999999</v>
      </c>
    </row>
    <row r="68" spans="11:17">
      <c r="K68" s="755" t="s">
        <v>579</v>
      </c>
      <c r="L68" s="755">
        <v>61.6</v>
      </c>
      <c r="M68" s="755">
        <v>0.71940000000000004</v>
      </c>
      <c r="N68" s="755">
        <v>12159.59</v>
      </c>
      <c r="O68" s="755">
        <v>-0.65</v>
      </c>
      <c r="P68" s="755">
        <v>-0.1091</v>
      </c>
      <c r="Q68" s="755">
        <v>-0.82850000000000001</v>
      </c>
    </row>
    <row r="69" spans="11:17">
      <c r="K69" s="755" t="s">
        <v>580</v>
      </c>
      <c r="L69" s="755">
        <v>61.16</v>
      </c>
      <c r="M69" s="755">
        <v>0.87419999999999998</v>
      </c>
      <c r="N69" s="755">
        <v>12239.36</v>
      </c>
      <c r="O69" s="755">
        <v>0.21</v>
      </c>
      <c r="P69" s="755">
        <v>0.2402</v>
      </c>
      <c r="Q69" s="755">
        <v>-0.63390000000000002</v>
      </c>
    </row>
    <row r="70" spans="11:17">
      <c r="K70" s="755" t="s">
        <v>581</v>
      </c>
      <c r="L70" s="755">
        <v>60.63</v>
      </c>
      <c r="M70" s="755">
        <v>1.2356</v>
      </c>
      <c r="N70" s="755">
        <v>12213.24</v>
      </c>
      <c r="O70" s="755">
        <v>2.82</v>
      </c>
      <c r="P70" s="755">
        <v>1.2939000000000001</v>
      </c>
      <c r="Q70" s="755">
        <v>5.8299999999999998E-2</v>
      </c>
    </row>
    <row r="71" spans="11:17">
      <c r="K71" s="755" t="s">
        <v>582</v>
      </c>
      <c r="L71" s="755">
        <v>59.89</v>
      </c>
      <c r="M71" s="755">
        <v>3.9216000000000002</v>
      </c>
      <c r="N71" s="755">
        <v>11877.72</v>
      </c>
      <c r="O71" s="755">
        <v>-2.62</v>
      </c>
      <c r="P71" s="755">
        <v>-0.90190000000000003</v>
      </c>
      <c r="Q71" s="755">
        <v>-4.8234000000000004</v>
      </c>
    </row>
    <row r="72" spans="11:17">
      <c r="K72" s="755" t="s">
        <v>583</v>
      </c>
      <c r="L72" s="755">
        <v>57.63</v>
      </c>
      <c r="M72" s="755">
        <v>-2.0897000000000001</v>
      </c>
      <c r="N72" s="755">
        <v>12196.8</v>
      </c>
      <c r="O72" s="755">
        <v>-1.48</v>
      </c>
      <c r="P72" s="755">
        <v>-0.4446</v>
      </c>
      <c r="Q72" s="755">
        <v>1.6451</v>
      </c>
    </row>
    <row r="73" spans="11:17">
      <c r="K73" s="755" t="s">
        <v>584</v>
      </c>
      <c r="L73" s="755">
        <v>58.86</v>
      </c>
      <c r="M73" s="755">
        <v>2.5792999999999999</v>
      </c>
      <c r="N73" s="755">
        <v>12380.41</v>
      </c>
      <c r="O73" s="755">
        <v>0.65</v>
      </c>
      <c r="P73" s="755">
        <v>0.41670000000000001</v>
      </c>
      <c r="Q73" s="755">
        <v>-2.1625999999999999</v>
      </c>
    </row>
    <row r="74" spans="11:17">
      <c r="K74" s="755" t="s">
        <v>585</v>
      </c>
      <c r="L74" s="755">
        <v>57.38</v>
      </c>
      <c r="M74" s="755">
        <v>-0.3992</v>
      </c>
      <c r="N74" s="755">
        <v>12300.3</v>
      </c>
      <c r="O74" s="755">
        <v>-0.93</v>
      </c>
      <c r="P74" s="755">
        <v>-0.22209999999999999</v>
      </c>
      <c r="Q74" s="755">
        <v>0.17710000000000001</v>
      </c>
    </row>
    <row r="75" spans="11:17">
      <c r="K75" s="755" t="s">
        <v>586</v>
      </c>
      <c r="L75" s="755">
        <v>57.61</v>
      </c>
      <c r="M75" s="755">
        <v>0.94620000000000004</v>
      </c>
      <c r="N75" s="755">
        <v>12415.98</v>
      </c>
      <c r="O75" s="755">
        <v>1.75</v>
      </c>
      <c r="P75" s="755">
        <v>0.86150000000000004</v>
      </c>
      <c r="Q75" s="755">
        <v>-8.4699999999999998E-2</v>
      </c>
    </row>
    <row r="76" spans="11:17">
      <c r="K76" s="755" t="s">
        <v>587</v>
      </c>
      <c r="L76" s="755">
        <v>57.07</v>
      </c>
      <c r="M76" s="755">
        <v>-0.86850000000000005</v>
      </c>
      <c r="N76" s="755">
        <v>12202.04</v>
      </c>
      <c r="O76" s="755">
        <v>-1.75</v>
      </c>
      <c r="P76" s="755">
        <v>-0.55110000000000003</v>
      </c>
      <c r="Q76" s="755">
        <v>0.31740000000000002</v>
      </c>
    </row>
    <row r="77" spans="11:17">
      <c r="K77" s="755" t="s">
        <v>588</v>
      </c>
      <c r="L77" s="755">
        <v>57.57</v>
      </c>
      <c r="M77" s="755">
        <v>-1.4212</v>
      </c>
      <c r="N77" s="755">
        <v>12418.99</v>
      </c>
      <c r="O77" s="755">
        <v>0.82</v>
      </c>
      <c r="P77" s="755">
        <v>0.48649999999999999</v>
      </c>
      <c r="Q77" s="755">
        <v>1.9077999999999999</v>
      </c>
    </row>
    <row r="78" spans="11:17">
      <c r="K78" s="755" t="s">
        <v>589</v>
      </c>
      <c r="L78" s="755">
        <v>58.4</v>
      </c>
      <c r="M78" s="755">
        <v>2.4561000000000002</v>
      </c>
      <c r="N78" s="755">
        <v>12317.46</v>
      </c>
      <c r="O78" s="755">
        <v>-0.53</v>
      </c>
      <c r="P78" s="755">
        <v>-6.1600000000000002E-2</v>
      </c>
      <c r="Q78" s="755">
        <v>-2.5177999999999998</v>
      </c>
    </row>
    <row r="79" spans="11:17">
      <c r="K79" s="755" t="s">
        <v>590</v>
      </c>
      <c r="L79" s="755">
        <v>57</v>
      </c>
      <c r="M79" s="755">
        <v>-2.5474000000000001</v>
      </c>
      <c r="N79" s="755">
        <v>12383.6</v>
      </c>
      <c r="O79" s="755">
        <v>-0.93</v>
      </c>
      <c r="P79" s="755">
        <v>-0.22020000000000001</v>
      </c>
      <c r="Q79" s="755">
        <v>2.3271999999999999</v>
      </c>
    </row>
    <row r="80" spans="11:17">
      <c r="K80" s="755" t="s">
        <v>591</v>
      </c>
      <c r="L80" s="755">
        <v>58.49</v>
      </c>
      <c r="M80" s="755">
        <v>-0.30680000000000002</v>
      </c>
      <c r="N80" s="755">
        <v>12499.47</v>
      </c>
      <c r="O80" s="755">
        <v>1.89</v>
      </c>
      <c r="P80" s="755">
        <v>0.9153</v>
      </c>
      <c r="Q80" s="755">
        <v>1.2221</v>
      </c>
    </row>
    <row r="81" spans="11:17">
      <c r="K81" s="755" t="s">
        <v>592</v>
      </c>
      <c r="L81" s="755">
        <v>58.67</v>
      </c>
      <c r="M81" s="755">
        <v>2.4624999999999999</v>
      </c>
      <c r="N81" s="755">
        <v>12268.01</v>
      </c>
      <c r="O81" s="755">
        <v>2.67</v>
      </c>
      <c r="P81" s="755">
        <v>1.2303999999999999</v>
      </c>
      <c r="Q81" s="755">
        <v>-1.232</v>
      </c>
    </row>
    <row r="82" spans="11:17">
      <c r="K82" s="755" t="s">
        <v>593</v>
      </c>
      <c r="L82" s="755">
        <v>57.26</v>
      </c>
      <c r="M82" s="755">
        <v>-1.1566000000000001</v>
      </c>
      <c r="N82" s="755">
        <v>11949.26</v>
      </c>
      <c r="O82" s="755">
        <v>-1.1000000000000001</v>
      </c>
      <c r="P82" s="755">
        <v>-0.29020000000000001</v>
      </c>
      <c r="Q82" s="755">
        <v>0.86629999999999996</v>
      </c>
    </row>
    <row r="83" spans="11:17">
      <c r="K83" s="755" t="s">
        <v>594</v>
      </c>
      <c r="L83" s="755">
        <v>57.93</v>
      </c>
      <c r="M83" s="755">
        <v>-0.61760000000000004</v>
      </c>
      <c r="N83" s="755">
        <v>12082.23</v>
      </c>
      <c r="O83" s="755">
        <v>-0.06</v>
      </c>
      <c r="P83" s="755">
        <v>0.1283</v>
      </c>
      <c r="Q83" s="755">
        <v>0.74590000000000001</v>
      </c>
    </row>
    <row r="84" spans="11:17">
      <c r="K84" s="755" t="s">
        <v>595</v>
      </c>
      <c r="L84" s="755">
        <v>58.29</v>
      </c>
      <c r="M84" s="755">
        <v>-0.2054</v>
      </c>
      <c r="N84" s="755">
        <v>12089.89</v>
      </c>
      <c r="O84" s="755">
        <v>1.67</v>
      </c>
      <c r="P84" s="755">
        <v>0.82930000000000004</v>
      </c>
      <c r="Q84" s="755">
        <v>1.0347</v>
      </c>
    </row>
    <row r="85" spans="11:17">
      <c r="K85" s="755" t="s">
        <v>596</v>
      </c>
      <c r="L85" s="755">
        <v>58.41</v>
      </c>
      <c r="M85" s="755">
        <v>6.0072999999999999</v>
      </c>
      <c r="N85" s="755">
        <v>11890.89</v>
      </c>
      <c r="O85" s="755">
        <v>1.96</v>
      </c>
      <c r="P85" s="755">
        <v>0.94389999999999996</v>
      </c>
      <c r="Q85" s="755">
        <v>-5.0633999999999997</v>
      </c>
    </row>
    <row r="86" spans="11:17">
      <c r="K86" s="755" t="s">
        <v>597</v>
      </c>
      <c r="L86" s="755">
        <v>55.1</v>
      </c>
      <c r="M86" s="755">
        <v>-7.2499999999999995E-2</v>
      </c>
      <c r="N86" s="755">
        <v>11662.59</v>
      </c>
      <c r="O86" s="755">
        <v>-0.88</v>
      </c>
      <c r="P86" s="755">
        <v>-0.20200000000000001</v>
      </c>
      <c r="Q86" s="755">
        <v>-0.1295</v>
      </c>
    </row>
    <row r="87" spans="11:17">
      <c r="K87" s="755" t="s">
        <v>598</v>
      </c>
      <c r="L87" s="755">
        <v>55.14</v>
      </c>
      <c r="M87" s="755">
        <v>0.52869999999999995</v>
      </c>
      <c r="N87" s="755">
        <v>11766.36</v>
      </c>
      <c r="O87" s="755">
        <v>1.23</v>
      </c>
      <c r="P87" s="755">
        <v>0.65200000000000002</v>
      </c>
      <c r="Q87" s="755">
        <v>0.12330000000000001</v>
      </c>
    </row>
    <row r="88" spans="11:17">
      <c r="K88" s="755" t="s">
        <v>599</v>
      </c>
      <c r="L88" s="755">
        <v>54.85</v>
      </c>
      <c r="M88" s="755">
        <v>2.2747999999999999</v>
      </c>
      <c r="N88" s="755">
        <v>11622.91</v>
      </c>
      <c r="O88" s="755">
        <v>0.94</v>
      </c>
      <c r="P88" s="755">
        <v>0.53380000000000005</v>
      </c>
      <c r="Q88" s="755">
        <v>-1.7411000000000001</v>
      </c>
    </row>
    <row r="89" spans="11:17">
      <c r="K89" s="755" t="s">
        <v>600</v>
      </c>
      <c r="L89" s="755">
        <v>53.63</v>
      </c>
      <c r="M89" s="755">
        <v>3.1345999999999998</v>
      </c>
      <c r="N89" s="755">
        <v>11514.53</v>
      </c>
      <c r="O89" s="755">
        <v>-1.25</v>
      </c>
      <c r="P89" s="755">
        <v>-0.34939999999999999</v>
      </c>
      <c r="Q89" s="755">
        <v>-3.4841000000000002</v>
      </c>
    </row>
    <row r="90" spans="11:17">
      <c r="K90" s="755" t="s">
        <v>601</v>
      </c>
      <c r="L90" s="755">
        <v>52</v>
      </c>
      <c r="M90" s="755">
        <v>-0.24940000000000001</v>
      </c>
      <c r="N90" s="755">
        <v>11659.96</v>
      </c>
      <c r="O90" s="755">
        <v>0.55000000000000004</v>
      </c>
      <c r="P90" s="755">
        <v>0.3745</v>
      </c>
      <c r="Q90" s="755">
        <v>0.62390000000000001</v>
      </c>
    </row>
    <row r="91" spans="11:17">
      <c r="K91" s="755" t="s">
        <v>602</v>
      </c>
      <c r="L91" s="755">
        <v>52.13</v>
      </c>
      <c r="M91" s="755">
        <v>1.2823</v>
      </c>
      <c r="N91" s="755">
        <v>11596.56</v>
      </c>
      <c r="O91" s="755">
        <v>1.41</v>
      </c>
      <c r="P91" s="755">
        <v>0.72209999999999996</v>
      </c>
      <c r="Q91" s="755">
        <v>-0.56020000000000003</v>
      </c>
    </row>
    <row r="92" spans="11:17">
      <c r="K92" s="755" t="s">
        <v>603</v>
      </c>
      <c r="L92" s="755">
        <v>51.47</v>
      </c>
      <c r="M92" s="755">
        <v>2.0015999999999998</v>
      </c>
      <c r="N92" s="755">
        <v>11435.54</v>
      </c>
      <c r="O92" s="755">
        <v>-0.78</v>
      </c>
      <c r="P92" s="755">
        <v>-0.159</v>
      </c>
      <c r="Q92" s="755">
        <v>-2.1606000000000001</v>
      </c>
    </row>
    <row r="93" spans="11:17">
      <c r="K93" s="755" t="s">
        <v>604</v>
      </c>
      <c r="L93" s="755">
        <v>50.46</v>
      </c>
      <c r="M93" s="755">
        <v>-0.2767</v>
      </c>
      <c r="N93" s="755">
        <v>11524.9</v>
      </c>
      <c r="O93" s="755">
        <v>0.21</v>
      </c>
      <c r="P93" s="755">
        <v>0.23910000000000001</v>
      </c>
      <c r="Q93" s="755">
        <v>0.51570000000000005</v>
      </c>
    </row>
    <row r="94" spans="11:17">
      <c r="K94" s="755" t="s">
        <v>605</v>
      </c>
      <c r="L94" s="755">
        <v>50.6</v>
      </c>
      <c r="M94" s="755">
        <v>0.47660000000000002</v>
      </c>
      <c r="N94" s="755">
        <v>11500.63</v>
      </c>
      <c r="O94" s="755">
        <v>1.23</v>
      </c>
      <c r="P94" s="755">
        <v>0.6492</v>
      </c>
      <c r="Q94" s="755">
        <v>0.1726</v>
      </c>
    </row>
    <row r="95" spans="11:17">
      <c r="K95" s="755" t="s">
        <v>606</v>
      </c>
      <c r="L95" s="755">
        <v>50.36</v>
      </c>
      <c r="M95" s="755">
        <v>-1.0609</v>
      </c>
      <c r="N95" s="755">
        <v>11361.2</v>
      </c>
      <c r="O95" s="755">
        <v>-1.86</v>
      </c>
      <c r="P95" s="755">
        <v>-0.59650000000000003</v>
      </c>
      <c r="Q95" s="755">
        <v>0.46439999999999998</v>
      </c>
    </row>
    <row r="96" spans="11:17">
      <c r="K96" s="755" t="s">
        <v>607</v>
      </c>
      <c r="L96" s="755">
        <v>50.9</v>
      </c>
      <c r="M96" s="755">
        <v>1.8</v>
      </c>
      <c r="N96" s="755">
        <v>11576.47</v>
      </c>
      <c r="O96" s="755">
        <v>2.62</v>
      </c>
      <c r="P96" s="755">
        <v>1.2121999999999999</v>
      </c>
      <c r="Q96" s="755">
        <v>-0.58779999999999999</v>
      </c>
    </row>
    <row r="97" spans="11:17">
      <c r="K97" s="755" t="s">
        <v>608</v>
      </c>
      <c r="L97" s="755">
        <v>50</v>
      </c>
      <c r="M97" s="755">
        <v>-7.1666999999999996</v>
      </c>
      <c r="N97" s="755">
        <v>11280.64</v>
      </c>
      <c r="O97" s="755">
        <v>-3.54</v>
      </c>
      <c r="P97" s="755">
        <v>-1.2748999999999999</v>
      </c>
      <c r="Q97" s="755">
        <v>5.8918999999999997</v>
      </c>
    </row>
    <row r="98" spans="11:17">
      <c r="K98" s="755" t="s">
        <v>609</v>
      </c>
      <c r="L98" s="755">
        <v>53.86</v>
      </c>
      <c r="M98" s="755">
        <v>0.5413</v>
      </c>
      <c r="N98" s="755">
        <v>11694.67</v>
      </c>
      <c r="O98" s="755">
        <v>-1.49</v>
      </c>
      <c r="P98" s="755">
        <v>-0.44629999999999997</v>
      </c>
      <c r="Q98" s="755">
        <v>-0.98770000000000002</v>
      </c>
    </row>
    <row r="99" spans="11:17">
      <c r="K99" s="755" t="s">
        <v>610</v>
      </c>
      <c r="L99" s="755">
        <v>53.57</v>
      </c>
      <c r="M99" s="755">
        <v>-0.96140000000000003</v>
      </c>
      <c r="N99" s="755">
        <v>11871.23</v>
      </c>
      <c r="O99" s="755">
        <v>-2.99</v>
      </c>
      <c r="P99" s="755">
        <v>-1.0548</v>
      </c>
      <c r="Q99" s="755">
        <v>-9.3399999999999997E-2</v>
      </c>
    </row>
    <row r="100" spans="11:17">
      <c r="K100" s="755" t="s">
        <v>611</v>
      </c>
      <c r="L100" s="755">
        <v>54.09</v>
      </c>
      <c r="M100" s="755">
        <v>1.3871</v>
      </c>
      <c r="N100" s="755">
        <v>12237.75</v>
      </c>
      <c r="O100" s="755">
        <v>0.74</v>
      </c>
      <c r="P100" s="755">
        <v>0.45450000000000002</v>
      </c>
      <c r="Q100" s="755">
        <v>-0.93259999999999998</v>
      </c>
    </row>
    <row r="101" spans="11:17">
      <c r="K101" s="755" t="s">
        <v>612</v>
      </c>
      <c r="L101" s="755">
        <v>53.35</v>
      </c>
      <c r="M101" s="755">
        <v>5.6300000000000003E-2</v>
      </c>
      <c r="N101" s="755">
        <v>12147.28</v>
      </c>
      <c r="O101" s="755">
        <v>0.89</v>
      </c>
      <c r="P101" s="755">
        <v>0.51219999999999999</v>
      </c>
      <c r="Q101" s="755">
        <v>0.45590000000000003</v>
      </c>
    </row>
    <row r="102" spans="11:17">
      <c r="K102" s="755" t="s">
        <v>613</v>
      </c>
      <c r="L102" s="755">
        <v>53.32</v>
      </c>
      <c r="M102" s="755">
        <v>-1.6235999999999999</v>
      </c>
      <c r="N102" s="755">
        <v>12040.39</v>
      </c>
      <c r="O102" s="755">
        <v>-0.52</v>
      </c>
      <c r="P102" s="755">
        <v>-5.5199999999999999E-2</v>
      </c>
      <c r="Q102" s="755">
        <v>1.5684</v>
      </c>
    </row>
    <row r="103" spans="11:17">
      <c r="K103" s="755" t="s">
        <v>614</v>
      </c>
      <c r="L103" s="755">
        <v>54.2</v>
      </c>
      <c r="M103" s="755">
        <v>1.8989</v>
      </c>
      <c r="N103" s="755">
        <v>12103.11</v>
      </c>
      <c r="O103" s="755">
        <v>-2.33</v>
      </c>
      <c r="P103" s="755">
        <v>-0.78749999999999998</v>
      </c>
      <c r="Q103" s="755">
        <v>-2.6863000000000001</v>
      </c>
    </row>
    <row r="104" spans="11:17">
      <c r="K104" s="755" t="s">
        <v>615</v>
      </c>
      <c r="L104" s="755">
        <v>53.19</v>
      </c>
      <c r="M104" s="755">
        <v>2.3868999999999998</v>
      </c>
      <c r="N104" s="755">
        <v>12392.18</v>
      </c>
      <c r="O104" s="755">
        <v>-0.59</v>
      </c>
      <c r="P104" s="755">
        <v>-8.4000000000000005E-2</v>
      </c>
      <c r="Q104" s="755">
        <v>-2.4708999999999999</v>
      </c>
    </row>
    <row r="105" spans="11:17">
      <c r="K105" s="755" t="s">
        <v>616</v>
      </c>
      <c r="L105" s="755">
        <v>51.95</v>
      </c>
      <c r="M105" s="755">
        <v>0.9718</v>
      </c>
      <c r="N105" s="755">
        <v>12465.66</v>
      </c>
      <c r="O105" s="755">
        <v>-0.25</v>
      </c>
      <c r="P105" s="755">
        <v>5.28E-2</v>
      </c>
      <c r="Q105" s="755">
        <v>-0.91900000000000004</v>
      </c>
    </row>
    <row r="106" spans="11:17">
      <c r="K106" s="755" t="s">
        <v>617</v>
      </c>
      <c r="L106" s="755">
        <v>51.45</v>
      </c>
      <c r="M106" s="755">
        <v>0.312</v>
      </c>
      <c r="N106" s="755">
        <v>12496.96</v>
      </c>
      <c r="O106" s="755">
        <v>-0.05</v>
      </c>
      <c r="P106" s="755">
        <v>0.13239999999999999</v>
      </c>
      <c r="Q106" s="755">
        <v>-0.17949999999999999</v>
      </c>
    </row>
    <row r="107" spans="11:17">
      <c r="K107" s="755" t="s">
        <v>618</v>
      </c>
      <c r="L107" s="755">
        <v>51.29</v>
      </c>
      <c r="M107" s="755"/>
      <c r="N107" s="755">
        <v>12503.62</v>
      </c>
      <c r="O107" s="755"/>
      <c r="P107" s="755" t="s">
        <v>619</v>
      </c>
      <c r="Q107" s="755" t="s">
        <v>619</v>
      </c>
    </row>
  </sheetData>
  <mergeCells count="3">
    <mergeCell ref="S12:Z12"/>
    <mergeCell ref="S24:V24"/>
    <mergeCell ref="S25:V25"/>
  </mergeCells>
  <phoneticPr fontId="79" type="noConversion"/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14</vt:i4>
      </vt:variant>
    </vt:vector>
  </HeadingPairs>
  <TitlesOfParts>
    <vt:vector size="25" baseType="lpstr">
      <vt:lpstr>Cover Page</vt:lpstr>
      <vt:lpstr>Historical Statement Analysis</vt:lpstr>
      <vt:lpstr>Financial Analysis</vt:lpstr>
      <vt:lpstr>Assumptions</vt:lpstr>
      <vt:lpstr>Scenarios</vt:lpstr>
      <vt:lpstr>Metro Modeling</vt:lpstr>
      <vt:lpstr>Common Size Analysis</vt:lpstr>
      <vt:lpstr>WACC</vt:lpstr>
      <vt:lpstr>Additional calculation</vt:lpstr>
      <vt:lpstr>price</vt:lpstr>
      <vt:lpstr>dvm</vt:lpstr>
      <vt:lpstr>aa</vt:lpstr>
      <vt:lpstr>bb</vt:lpstr>
      <vt:lpstr>ca</vt:lpstr>
      <vt:lpstr>case</vt:lpstr>
      <vt:lpstr>dinfl</vt:lpstr>
      <vt:lpstr>divout</vt:lpstr>
      <vt:lpstr>g</vt:lpstr>
      <vt:lpstr>gggggggggg</vt:lpstr>
      <vt:lpstr>ggggggggggg</vt:lpstr>
      <vt:lpstr>infl</vt:lpstr>
      <vt:lpstr>ninfl</vt:lpstr>
      <vt:lpstr>'Cover Page'!Print_Area</vt:lpstr>
      <vt:lpstr>TAX</vt:lpstr>
      <vt:lpstr>wacc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kobe</dc:creator>
  <cp:lastModifiedBy>Microsoft Office User</cp:lastModifiedBy>
  <dcterms:created xsi:type="dcterms:W3CDTF">2014-03-03T01:10:17Z</dcterms:created>
  <dcterms:modified xsi:type="dcterms:W3CDTF">2020-07-01T18:21:25Z</dcterms:modified>
</cp:coreProperties>
</file>